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<sst xmlns="http://schemas.openxmlformats.org/spreadsheetml/2006/main" count="172" uniqueCount="123">
  <si>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</si>
  <si>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</si>
  <si>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</si>
  <si>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</si>
  <si>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</si>
  <si>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</si>
  <si>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</si>
  <si>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</si>
  <si>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</si>
  <si>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</si>
  <si>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</si>
  <si>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</si>
  <si>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</si>
  <si>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</si>
  <si>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</si>
  <si>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</si>
  <si>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</si>
  <si>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</si>
  <si>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</si>
  <si>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</si>
  <si>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</si>
  <si>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</si>
  <si>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</si>
  <si>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</si>
  <si>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</si>
  <si>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</si>
  <si>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</si>
  <si>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</si>
  <si>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</si>
  <si>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</si>
  <si>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</si>
  <si>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</si>
  <si>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</si>
  <si>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</si>
  <si>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</si>
  <si>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</si>
  <si>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</si>
  <si>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</si>
  <si>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</si>
  <si>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</si>
  <si>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</si>
  <si>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</si>
  <si>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</si>
  <si>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</si>
  <si>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</si>
  <si>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</si>
  <si>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</si>
  <si>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</si>
  <si>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</si>
  <si>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</si>
  <si>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</si>
  <si>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</si>
  <si>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</si>
  <si>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</si>
  <si>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</si>
  <si>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</si>
  <si>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</si>
  <si>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</si>
  <si>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</si>
  <si>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</si>
  <si>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</si>
  <si>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</si>
  <si>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</si>
  <si>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</si>
  <si>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</si>
  <si>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</si>
  <si>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</si>
  <si>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</si>
  <si>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</si>
  <si>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</si>
  <si>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</si>
  <si>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</si>
  <si>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</si>
  <si>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</si>
  <si>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</si>
  <si>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</si>
  <si>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</si>
  <si>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</si>
  <si>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</si>
  <si>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</si>
  <si>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</si>
  <si>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</si>
  <si>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</si>
  <si>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</si>
  <si>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</si>
  <si>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</si>
  <si>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</si>
  <si>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</si>
  <si>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</si>
  <si>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</si>
  <si>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</si>
  <si>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</si>
  <si>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</si>
  <si>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</si>
  <si>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</si>
  <si>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</si>
  <si>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</si>
  <si>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</si>
  <si>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</si>
  <si>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</si>
  <si>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</si>
  <si>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</si>
  <si>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</si>
  <si>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</si>
  <si>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</si>
  <si>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</si>
  <si>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</si>
  <si>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</si>
  <si>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</si>
  <si>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</si>
  <si>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</si>
  <si>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</si>
  <si>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</si>
  <si>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</si>
  <si>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</si>
  <si>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</si>
  <si>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</si>
  <si>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</si>
  <si>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8 місяців, тис.грн.</t>
  </si>
  <si>
    <t>Відсоток виконання плану 8 місяців</t>
  </si>
  <si>
    <t>Відхилення від плану 8 місяців, тис.грн.</t>
  </si>
  <si>
    <t>Аналіз використання коштів міського бюджету за 2016 рік станом на 05.08.2016 року</t>
  </si>
  <si>
    <t>Програма впорядкуванні тимчасових споруд і зовнішньої реклами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</si>
</sst>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6" xfId="0" applyNumberFormat="1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6" xfId="0" applyNumberFormat="1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5" xfId="0" applyNumberFormat="1" applyFont="1" applyFill="1" applyBorder="1" applyAlignment="1">
      <alignment/>
    </xf>
    <xf numFmtId="190" fontId="0" fillId="0" borderId="13" xfId="0" applyNumberFormat="1" applyFont="1" applyFill="1" applyBorder="1" applyAlignment="1">
      <alignment wrapText="1"/>
    </xf>
    <xf numFmtId="190" fontId="0" fillId="0" borderId="11" xfId="0" applyNumberFormat="1" applyFont="1" applyFill="1" applyBorder="1" applyAlignment="1">
      <alignment/>
    </xf>
    <xf numFmtId="190" fontId="4" fillId="0" borderId="16" xfId="0" applyNumberFormat="1" applyFont="1" applyFill="1" applyBorder="1" applyAlignment="1">
      <alignment wrapText="1"/>
    </xf>
    <xf numFmtId="190" fontId="4" fillId="0" borderId="12" xfId="0" applyNumberFormat="1" applyFont="1" applyFill="1" applyBorder="1" applyAlignment="1">
      <alignment wrapText="1"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89" fontId="4" fillId="24" borderId="15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6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675"/>
          <c:w val="0.858"/>
          <c:h val="0.62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58928.00000000001</c:v>
                </c:pt>
                <c:pt idx="1">
                  <c:v>49463.1</c:v>
                </c:pt>
                <c:pt idx="2">
                  <c:v>2121.4</c:v>
                </c:pt>
                <c:pt idx="3">
                  <c:v>7343.500000000009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33160.7</c:v>
                </c:pt>
                <c:pt idx="1">
                  <c:v>28414.000000000004</c:v>
                </c:pt>
                <c:pt idx="2">
                  <c:v>1024.3999999999999</c:v>
                </c:pt>
                <c:pt idx="3">
                  <c:v>3722.299999999994</c:v>
                </c:pt>
              </c:numCache>
            </c:numRef>
          </c:val>
          <c:shape val="box"/>
        </c:ser>
        <c:shape val="box"/>
        <c:axId val="55788241"/>
        <c:axId val="32332122"/>
      </c:bar3DChart>
      <c:catAx>
        <c:axId val="55788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332122"/>
        <c:crosses val="autoZero"/>
        <c:auto val="1"/>
        <c:lblOffset val="100"/>
        <c:tickLblSkip val="1"/>
        <c:noMultiLvlLbl val="0"/>
      </c:catAx>
      <c:valAx>
        <c:axId val="323321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882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35"/>
          <c:w val="0.843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428283</c:v>
                </c:pt>
                <c:pt idx="1">
                  <c:v>187918.3</c:v>
                </c:pt>
                <c:pt idx="2">
                  <c:v>298081.6</c:v>
                </c:pt>
                <c:pt idx="3">
                  <c:v>85.7</c:v>
                </c:pt>
                <c:pt idx="4">
                  <c:v>27114.4</c:v>
                </c:pt>
                <c:pt idx="5">
                  <c:v>71654.8</c:v>
                </c:pt>
                <c:pt idx="6">
                  <c:v>14740</c:v>
                </c:pt>
                <c:pt idx="7">
                  <c:v>16606.500000000015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247436.80000000005</c:v>
                </c:pt>
                <c:pt idx="1">
                  <c:v>108947.09999999999</c:v>
                </c:pt>
                <c:pt idx="2">
                  <c:v>186663.69999999995</c:v>
                </c:pt>
                <c:pt idx="3">
                  <c:v>35.99999999999999</c:v>
                </c:pt>
                <c:pt idx="4">
                  <c:v>14413.900000000007</c:v>
                </c:pt>
                <c:pt idx="5">
                  <c:v>31383.899999999998</c:v>
                </c:pt>
                <c:pt idx="6">
                  <c:v>7464.300000000002</c:v>
                </c:pt>
                <c:pt idx="7">
                  <c:v>7475.000000000085</c:v>
                </c:pt>
              </c:numCache>
            </c:numRef>
          </c:val>
          <c:shape val="box"/>
        </c:ser>
        <c:shape val="box"/>
        <c:axId val="22553643"/>
        <c:axId val="1656196"/>
      </c:bar3DChart>
      <c:catAx>
        <c:axId val="22553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56196"/>
        <c:crosses val="autoZero"/>
        <c:auto val="1"/>
        <c:lblOffset val="100"/>
        <c:tickLblSkip val="1"/>
        <c:noMultiLvlLbl val="0"/>
      </c:catAx>
      <c:valAx>
        <c:axId val="16561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536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225"/>
          <c:w val="0.9295"/>
          <c:h val="0.66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254178</c:v>
                </c:pt>
                <c:pt idx="1">
                  <c:v>190940</c:v>
                </c:pt>
                <c:pt idx="2">
                  <c:v>186641.3</c:v>
                </c:pt>
                <c:pt idx="3">
                  <c:v>21064.1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13158.70000000001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143537.90000000002</c:v>
                </c:pt>
                <c:pt idx="1">
                  <c:v>104919.2</c:v>
                </c:pt>
                <c:pt idx="2">
                  <c:v>110730</c:v>
                </c:pt>
                <c:pt idx="3">
                  <c:v>12750.700000000003</c:v>
                </c:pt>
                <c:pt idx="4">
                  <c:v>2275.4</c:v>
                </c:pt>
                <c:pt idx="5">
                  <c:v>13532.1</c:v>
                </c:pt>
                <c:pt idx="6">
                  <c:v>895.6999999999999</c:v>
                </c:pt>
                <c:pt idx="7">
                  <c:v>3354.0000000000173</c:v>
                </c:pt>
              </c:numCache>
            </c:numRef>
          </c:val>
          <c:shape val="box"/>
        </c:ser>
        <c:shape val="box"/>
        <c:axId val="14905765"/>
        <c:axId val="67043022"/>
      </c:bar3DChart>
      <c:catAx>
        <c:axId val="14905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043022"/>
        <c:crosses val="autoZero"/>
        <c:auto val="1"/>
        <c:lblOffset val="100"/>
        <c:tickLblSkip val="1"/>
        <c:noMultiLvlLbl val="0"/>
      </c:catAx>
      <c:valAx>
        <c:axId val="670430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057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225"/>
          <c:w val="0.870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28736.3</c:v>
                </c:pt>
                <c:pt idx="1">
                  <c:v>21436.899999999994</c:v>
                </c:pt>
                <c:pt idx="2">
                  <c:v>1253.5999999999997</c:v>
                </c:pt>
                <c:pt idx="3">
                  <c:v>331.90000000000015</c:v>
                </c:pt>
                <c:pt idx="4">
                  <c:v>25.5</c:v>
                </c:pt>
                <c:pt idx="5">
                  <c:v>5688.400000000005</c:v>
                </c:pt>
              </c:numCache>
            </c:numRef>
          </c:val>
          <c:shape val="box"/>
        </c:ser>
        <c:shape val="box"/>
        <c:axId val="66516287"/>
        <c:axId val="61775672"/>
      </c:bar3DChart>
      <c:catAx>
        <c:axId val="66516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775672"/>
        <c:crosses val="autoZero"/>
        <c:auto val="1"/>
        <c:lblOffset val="100"/>
        <c:tickLblSkip val="1"/>
        <c:noMultiLvlLbl val="0"/>
      </c:catAx>
      <c:valAx>
        <c:axId val="61775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162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15"/>
          <c:w val="0.86375"/>
          <c:h val="0.637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17141.1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5380.299999999997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8783.699999999995</c:v>
                </c:pt>
                <c:pt idx="1">
                  <c:v>5920.899999999999</c:v>
                </c:pt>
                <c:pt idx="3">
                  <c:v>141.50000000000003</c:v>
                </c:pt>
                <c:pt idx="4">
                  <c:v>371.3</c:v>
                </c:pt>
                <c:pt idx="5">
                  <c:v>80</c:v>
                </c:pt>
                <c:pt idx="6">
                  <c:v>2269.9999999999964</c:v>
                </c:pt>
              </c:numCache>
            </c:numRef>
          </c:val>
          <c:shape val="box"/>
        </c:ser>
        <c:shape val="box"/>
        <c:axId val="19110137"/>
        <c:axId val="37773506"/>
      </c:bar3DChart>
      <c:catAx>
        <c:axId val="19110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73506"/>
        <c:crosses val="autoZero"/>
        <c:auto val="1"/>
        <c:lblOffset val="100"/>
        <c:tickLblSkip val="2"/>
        <c:noMultiLvlLbl val="0"/>
      </c:catAx>
      <c:valAx>
        <c:axId val="377735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101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"/>
          <c:w val="0.8775"/>
          <c:h val="0.655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6131.4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1478.8999999999999</c:v>
                </c:pt>
                <c:pt idx="1">
                  <c:v>939.9</c:v>
                </c:pt>
                <c:pt idx="2">
                  <c:v>265.1</c:v>
                </c:pt>
                <c:pt idx="3">
                  <c:v>197.4</c:v>
                </c:pt>
                <c:pt idx="5">
                  <c:v>76.49999999999989</c:v>
                </c:pt>
              </c:numCache>
            </c:numRef>
          </c:val>
          <c:shape val="box"/>
        </c:ser>
        <c:shape val="box"/>
        <c:axId val="4417235"/>
        <c:axId val="39755116"/>
      </c:bar3DChart>
      <c:catAx>
        <c:axId val="4417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755116"/>
        <c:crosses val="autoZero"/>
        <c:auto val="1"/>
        <c:lblOffset val="100"/>
        <c:tickLblSkip val="1"/>
        <c:noMultiLvlLbl val="0"/>
      </c:catAx>
      <c:valAx>
        <c:axId val="397551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72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1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625"/>
          <c:w val="0.85725"/>
          <c:h val="0.671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51128.1</c:v>
                </c:pt>
              </c:numCache>
            </c:numRef>
          </c:val>
          <c:shape val="box"/>
        </c:ser>
        <c:shape val="box"/>
        <c:axId val="22251725"/>
        <c:axId val="66047798"/>
      </c:bar3DChart>
      <c:catAx>
        <c:axId val="22251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047798"/>
        <c:crosses val="autoZero"/>
        <c:auto val="1"/>
        <c:lblOffset val="100"/>
        <c:tickLblSkip val="1"/>
        <c:noMultiLvlLbl val="0"/>
      </c:catAx>
      <c:valAx>
        <c:axId val="66047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517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55"/>
          <c:w val="0.851"/>
          <c:h val="0.590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428283</c:v>
                </c:pt>
                <c:pt idx="1">
                  <c:v>254178</c:v>
                </c:pt>
                <c:pt idx="2">
                  <c:v>50285.299999999996</c:v>
                </c:pt>
                <c:pt idx="3">
                  <c:v>17141.1</c:v>
                </c:pt>
                <c:pt idx="4">
                  <c:v>6131.4</c:v>
                </c:pt>
                <c:pt idx="5">
                  <c:v>58928.00000000001</c:v>
                </c:pt>
                <c:pt idx="6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247436.80000000005</c:v>
                </c:pt>
                <c:pt idx="1">
                  <c:v>143537.90000000002</c:v>
                </c:pt>
                <c:pt idx="2">
                  <c:v>28736.3</c:v>
                </c:pt>
                <c:pt idx="3">
                  <c:v>8783.699999999995</c:v>
                </c:pt>
                <c:pt idx="4">
                  <c:v>1478.8999999999999</c:v>
                </c:pt>
                <c:pt idx="5">
                  <c:v>33160.7</c:v>
                </c:pt>
                <c:pt idx="6">
                  <c:v>51128.1</c:v>
                </c:pt>
              </c:numCache>
            </c:numRef>
          </c:val>
          <c:shape val="box"/>
        </c:ser>
        <c:shape val="box"/>
        <c:axId val="57559271"/>
        <c:axId val="48271392"/>
      </c:bar3DChart>
      <c:catAx>
        <c:axId val="57559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271392"/>
        <c:crosses val="autoZero"/>
        <c:auto val="1"/>
        <c:lblOffset val="100"/>
        <c:tickLblSkip val="1"/>
        <c:noMultiLvlLbl val="0"/>
      </c:catAx>
      <c:valAx>
        <c:axId val="48271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592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65"/>
          <c:w val="0.8412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589171.4999999998</c:v>
                </c:pt>
                <c:pt idx="1">
                  <c:v>114196.40000000001</c:v>
                </c:pt>
                <c:pt idx="2">
                  <c:v>31721.800000000003</c:v>
                </c:pt>
                <c:pt idx="3">
                  <c:v>29347.1</c:v>
                </c:pt>
                <c:pt idx="4">
                  <c:v>21243.1</c:v>
                </c:pt>
                <c:pt idx="5">
                  <c:v>610031.0000000003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358649.5</c:v>
                </c:pt>
                <c:pt idx="1">
                  <c:v>52013.299999999996</c:v>
                </c:pt>
                <c:pt idx="2">
                  <c:v>17131.200000000004</c:v>
                </c:pt>
                <c:pt idx="3">
                  <c:v>12905.000000000002</c:v>
                </c:pt>
                <c:pt idx="4">
                  <c:v>12844.900000000001</c:v>
                </c:pt>
                <c:pt idx="5">
                  <c:v>375580.70000000007</c:v>
                </c:pt>
              </c:numCache>
            </c:numRef>
          </c:val>
          <c:shape val="box"/>
        </c:ser>
        <c:shape val="box"/>
        <c:axId val="31789345"/>
        <c:axId val="17668650"/>
      </c:bar3DChart>
      <c:catAx>
        <c:axId val="31789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668650"/>
        <c:crosses val="autoZero"/>
        <c:auto val="1"/>
        <c:lblOffset val="100"/>
        <c:tickLblSkip val="1"/>
        <c:noMultiLvlLbl val="0"/>
      </c:catAx>
      <c:valAx>
        <c:axId val="176686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893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14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61" sqref="C161"/>
    </sheetView>
  </sheetViews>
  <sheetFormatPr defaultColWidth="9.1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121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118</v>
      </c>
      <c r="C3" s="135" t="s">
        <v>111</v>
      </c>
      <c r="D3" s="135" t="s">
        <v>28</v>
      </c>
      <c r="E3" s="135" t="s">
        <v>27</v>
      </c>
      <c r="F3" s="135" t="s">
        <v>119</v>
      </c>
      <c r="G3" s="135" t="s">
        <v>113</v>
      </c>
      <c r="H3" s="135" t="s">
        <v>120</v>
      </c>
      <c r="I3" s="135" t="s">
        <v>112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f>288859.3+1079.4</f>
        <v>289938.7</v>
      </c>
      <c r="C6" s="50">
        <f>426773.1+25+188.4+2200.9+6.1-1051.6+141.1+593.1+16568.5</f>
        <v>445444.6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+9.1+287.1+12.3+824.9+3788.7+1076.6+5.7+22.2+199.3+0.6+56.5</f>
        <v>247693.20000000004</v>
      </c>
      <c r="E6" s="3">
        <f>D6/D150*100</f>
        <v>29.544327369199248</v>
      </c>
      <c r="F6" s="3">
        <f>D6/B6*100</f>
        <v>85.42950630598813</v>
      </c>
      <c r="G6" s="3">
        <f aca="true" t="shared" si="0" ref="G6:G43">D6/C6*100</f>
        <v>55.605837403798375</v>
      </c>
      <c r="H6" s="51">
        <f>B6-D6</f>
        <v>42245.49999999997</v>
      </c>
      <c r="I6" s="51">
        <f aca="true" t="shared" si="1" ref="I6:I43">C6-D6</f>
        <v>197751.39999999994</v>
      </c>
    </row>
    <row r="7" spans="1:9" s="41" customFormat="1" ht="18.75">
      <c r="A7" s="112" t="s">
        <v>97</v>
      </c>
      <c r="B7" s="105">
        <f>128736.2-613.8</f>
        <v>128122.4</v>
      </c>
      <c r="C7" s="102">
        <f>185717.4+2200.9+593.1-613.8</f>
        <v>187897.6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</f>
        <v>108957.7</v>
      </c>
      <c r="E7" s="103">
        <f>D7/D6*100</f>
        <v>43.98897507077303</v>
      </c>
      <c r="F7" s="103">
        <f>D7/B7*100</f>
        <v>85.04188182550436</v>
      </c>
      <c r="G7" s="103">
        <f>D7/C7*100</f>
        <v>57.98780825300589</v>
      </c>
      <c r="H7" s="113">
        <f>B7-D7</f>
        <v>19164.699999999997</v>
      </c>
      <c r="I7" s="113">
        <f t="shared" si="1"/>
        <v>78939.90000000001</v>
      </c>
    </row>
    <row r="8" spans="1:9" ht="18">
      <c r="A8" s="26" t="s">
        <v>3</v>
      </c>
      <c r="B8" s="46">
        <f>202340.8+1523</f>
        <v>203863.8</v>
      </c>
      <c r="C8" s="47">
        <f>298081.6+593.1+13792.1</f>
        <v>312466.79999999993</v>
      </c>
      <c r="D8" s="48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</f>
        <v>186764.09999999995</v>
      </c>
      <c r="E8" s="1">
        <f>D8/D6*100</f>
        <v>75.4013836471893</v>
      </c>
      <c r="F8" s="1">
        <f>D8/B8*100</f>
        <v>91.61219402365694</v>
      </c>
      <c r="G8" s="1">
        <f t="shared" si="0"/>
        <v>59.770862056384864</v>
      </c>
      <c r="H8" s="48">
        <f>B8-D8</f>
        <v>17099.70000000004</v>
      </c>
      <c r="I8" s="48">
        <f t="shared" si="1"/>
        <v>125702.69999999998</v>
      </c>
    </row>
    <row r="9" spans="1:9" ht="18">
      <c r="A9" s="26" t="s">
        <v>2</v>
      </c>
      <c r="B9" s="46">
        <v>53.4</v>
      </c>
      <c r="C9" s="47">
        <v>85.7</v>
      </c>
      <c r="D9" s="48">
        <f>4+2.9+1.6+0.5+0.5+1.9+1.2+1.8+1.6+0.7+2+3.7+0.1+1.9+2.9+1.2+0.4+1.1+0.2+0.6+1.5+1.7+0.3+0.5+1.3-0.1</f>
        <v>35.99999999999999</v>
      </c>
      <c r="E9" s="12">
        <f>D9/D6*100</f>
        <v>0.014534109131780762</v>
      </c>
      <c r="F9" s="128">
        <f>D9/B9*100</f>
        <v>67.41573033707864</v>
      </c>
      <c r="G9" s="1">
        <f t="shared" si="0"/>
        <v>42.00700116686114</v>
      </c>
      <c r="H9" s="48">
        <f aca="true" t="shared" si="2" ref="H9:H43">B9-D9</f>
        <v>17.400000000000006</v>
      </c>
      <c r="I9" s="48">
        <f t="shared" si="1"/>
        <v>49.70000000000001</v>
      </c>
    </row>
    <row r="10" spans="1:9" ht="18">
      <c r="A10" s="26" t="s">
        <v>1</v>
      </c>
      <c r="B10" s="46">
        <v>19096.6</v>
      </c>
      <c r="C10" s="47">
        <f>28052.9-28-1051.6+141.1</f>
        <v>27114.4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</f>
        <v>14413.900000000007</v>
      </c>
      <c r="E10" s="1">
        <f>D10/D6*100</f>
        <v>5.81925543373819</v>
      </c>
      <c r="F10" s="1">
        <f aca="true" t="shared" si="3" ref="F10:F41">D10/B10*100</f>
        <v>75.47888105736104</v>
      </c>
      <c r="G10" s="1">
        <f t="shared" si="0"/>
        <v>53.159575723600774</v>
      </c>
      <c r="H10" s="48">
        <f t="shared" si="2"/>
        <v>4682.699999999992</v>
      </c>
      <c r="I10" s="48">
        <f t="shared" si="1"/>
        <v>12700.499999999995</v>
      </c>
    </row>
    <row r="11" spans="1:9" ht="18">
      <c r="A11" s="26" t="s">
        <v>0</v>
      </c>
      <c r="B11" s="46">
        <f>46075.8+106</f>
        <v>46181.8</v>
      </c>
      <c r="C11" s="47">
        <f>71654.8+3326</f>
        <v>74980.8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</f>
        <v>31387.899999999998</v>
      </c>
      <c r="E11" s="1">
        <f>D11/D6*100</f>
        <v>12.672087889372818</v>
      </c>
      <c r="F11" s="1">
        <f t="shared" si="3"/>
        <v>67.96595195509919</v>
      </c>
      <c r="G11" s="1">
        <f t="shared" si="0"/>
        <v>41.861249813285525</v>
      </c>
      <c r="H11" s="48">
        <f t="shared" si="2"/>
        <v>14793.900000000005</v>
      </c>
      <c r="I11" s="48">
        <f t="shared" si="1"/>
        <v>43592.90000000001</v>
      </c>
    </row>
    <row r="12" spans="1:9" ht="18">
      <c r="A12" s="26" t="s">
        <v>15</v>
      </c>
      <c r="B12" s="46">
        <v>9017.2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5+12.7+3.8+1250.6+160.8+241+218.1+277.6+20.3+413.8+8.3+240.5+24.8+2.5+338+212.8+1.2+3.8+19.1+319.6+33.1+186+278+233.1+1.2+181.4+178.6+208.7+296.2+195.1+36.2+3.8+12.7+114.5+331.8+187.3+241.1+252+65.5+0.1+9.1+67.9+257.1+135.7+183.8+52.2</f>
        <v>7516.500000000002</v>
      </c>
      <c r="E12" s="1">
        <f>D12/D6*100</f>
        <v>3.034600869139726</v>
      </c>
      <c r="F12" s="1">
        <f t="shared" si="3"/>
        <v>83.35736148693609</v>
      </c>
      <c r="G12" s="1">
        <f t="shared" si="0"/>
        <v>50.99389416553597</v>
      </c>
      <c r="H12" s="48">
        <f t="shared" si="2"/>
        <v>1500.699999999999</v>
      </c>
      <c r="I12" s="48">
        <f t="shared" si="1"/>
        <v>7223.499999999998</v>
      </c>
    </row>
    <row r="13" spans="1:9" ht="18.75" thickBot="1">
      <c r="A13" s="26" t="s">
        <v>34</v>
      </c>
      <c r="B13" s="47">
        <f>B6-B8-B9-B10-B11-B12</f>
        <v>11725.90000000002</v>
      </c>
      <c r="C13" s="47">
        <f>C6-C8-C9-C10-C11-C12</f>
        <v>16056.900000000038</v>
      </c>
      <c r="D13" s="47">
        <f>D6-D8-D9-D10-D11-D12</f>
        <v>7574.800000000085</v>
      </c>
      <c r="E13" s="1">
        <f>D13/D6*100</f>
        <v>3.058138051428171</v>
      </c>
      <c r="F13" s="1">
        <f t="shared" si="3"/>
        <v>64.59887940371377</v>
      </c>
      <c r="G13" s="1">
        <f t="shared" si="0"/>
        <v>47.17473484919297</v>
      </c>
      <c r="H13" s="48">
        <f t="shared" si="2"/>
        <v>4151.099999999935</v>
      </c>
      <c r="I13" s="48">
        <f t="shared" si="1"/>
        <v>8482.099999999953</v>
      </c>
    </row>
    <row r="14" spans="1:9" s="41" customFormat="1" ht="18.75" customHeight="1" hidden="1">
      <c r="A14" s="104" t="s">
        <v>77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74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75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76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f>172773+1206.6</f>
        <v>173979.6</v>
      </c>
      <c r="C18" s="50">
        <f>250434.1+666.5+2890.8+76.6+110+6034</f>
        <v>260212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</f>
        <v>143545.00000000003</v>
      </c>
      <c r="E18" s="3">
        <f>D18/D150*100</f>
        <v>17.121747679030776</v>
      </c>
      <c r="F18" s="3">
        <f>D18/B18*100</f>
        <v>82.50679964777481</v>
      </c>
      <c r="G18" s="3">
        <f t="shared" si="0"/>
        <v>55.164634989931294</v>
      </c>
      <c r="H18" s="51">
        <f>B18-D18</f>
        <v>30434.599999999977</v>
      </c>
      <c r="I18" s="51">
        <f t="shared" si="1"/>
        <v>116666.99999999997</v>
      </c>
    </row>
    <row r="19" spans="1:9" s="41" customFormat="1" ht="18.75">
      <c r="A19" s="112" t="s">
        <v>98</v>
      </c>
      <c r="B19" s="105">
        <v>126166.1</v>
      </c>
      <c r="C19" s="102">
        <f>188049.2+2890.8+579.6</f>
        <v>191519.6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</f>
        <v>104922.2</v>
      </c>
      <c r="E19" s="103">
        <f>D19/D18*100</f>
        <v>73.0935943432373</v>
      </c>
      <c r="F19" s="103">
        <f t="shared" si="3"/>
        <v>83.16195871949755</v>
      </c>
      <c r="G19" s="103">
        <f t="shared" si="0"/>
        <v>54.784053433695554</v>
      </c>
      <c r="H19" s="113">
        <f t="shared" si="2"/>
        <v>21243.90000000001</v>
      </c>
      <c r="I19" s="113">
        <f t="shared" si="1"/>
        <v>86597.40000000001</v>
      </c>
    </row>
    <row r="20" spans="1:9" ht="18">
      <c r="A20" s="26" t="s">
        <v>5</v>
      </c>
      <c r="B20" s="46">
        <f>127345.7+588.9</f>
        <v>127934.59999999999</v>
      </c>
      <c r="C20" s="47">
        <f>186641.3+2944.5</f>
        <v>189585.8</v>
      </c>
      <c r="D20" s="48">
        <f>5722.2+1+8655.9+32.9+2.4+5725.7+8251+357.7+0.1+5829.5+27.9+3957+4812.9+26.7+6036.7+16.8+6839+2416.2+22.3+6209+10229+319.3+6468+9728.3+1605.6+3790.5+3239.9+10406.4+0.1</f>
        <v>110730</v>
      </c>
      <c r="E20" s="1">
        <f>D20/D18*100</f>
        <v>77.1395729562158</v>
      </c>
      <c r="F20" s="1">
        <f t="shared" si="3"/>
        <v>86.55203518047503</v>
      </c>
      <c r="G20" s="1">
        <f t="shared" si="0"/>
        <v>58.406273043656235</v>
      </c>
      <c r="H20" s="48">
        <f t="shared" si="2"/>
        <v>17204.59999999999</v>
      </c>
      <c r="I20" s="48">
        <f t="shared" si="1"/>
        <v>78855.79999999999</v>
      </c>
    </row>
    <row r="21" spans="1:9" ht="18">
      <c r="A21" s="26" t="s">
        <v>2</v>
      </c>
      <c r="B21" s="46">
        <f>16511.7+348</f>
        <v>16859.7</v>
      </c>
      <c r="C21" s="47">
        <f>20454.1+500+110+1045.6</f>
        <v>22109.699999999997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</f>
        <v>12753.700000000003</v>
      </c>
      <c r="E21" s="1">
        <f>D21/D18*100</f>
        <v>8.884809641575812</v>
      </c>
      <c r="F21" s="1">
        <f t="shared" si="3"/>
        <v>75.64606724912069</v>
      </c>
      <c r="G21" s="1">
        <f t="shared" si="0"/>
        <v>57.68373157482917</v>
      </c>
      <c r="H21" s="48">
        <f t="shared" si="2"/>
        <v>4105.999999999998</v>
      </c>
      <c r="I21" s="48">
        <f t="shared" si="1"/>
        <v>9355.999999999995</v>
      </c>
    </row>
    <row r="22" spans="1:9" ht="18">
      <c r="A22" s="26" t="s">
        <v>1</v>
      </c>
      <c r="B22" s="46">
        <v>2646.7</v>
      </c>
      <c r="C22" s="47">
        <v>3917.9</v>
      </c>
      <c r="D22" s="48">
        <f>127.7+23.6+33.5+86.7+19.5+2.9+68.3+78.1+10.6+165.4+2.5+15.8+6.5+60.2+104.3+141.7+2.3+23.7+90.2+22.1+28.3+93.7+27.2-0.1+0.2+54.7+9.9+37.6+110.2+182.3+0.1+39.2+35.9+64.9+14.2+28+147.6+14.5+0.1+67.9+38.7+142.7+29+23</f>
        <v>2275.4</v>
      </c>
      <c r="E22" s="1">
        <f>D22/D18*100</f>
        <v>1.585147514716639</v>
      </c>
      <c r="F22" s="1">
        <f t="shared" si="3"/>
        <v>85.97120943061172</v>
      </c>
      <c r="G22" s="1">
        <f t="shared" si="0"/>
        <v>58.07703106255902</v>
      </c>
      <c r="H22" s="48">
        <f t="shared" si="2"/>
        <v>371.2999999999997</v>
      </c>
      <c r="I22" s="48">
        <f t="shared" si="1"/>
        <v>1642.5</v>
      </c>
    </row>
    <row r="23" spans="1:9" ht="18">
      <c r="A23" s="26" t="s">
        <v>0</v>
      </c>
      <c r="B23" s="46">
        <f>16470.6+144.8</f>
        <v>16615.399999999998</v>
      </c>
      <c r="C23" s="47">
        <f>27804.4+1919</f>
        <v>29723.4</v>
      </c>
      <c r="D23" s="48">
        <f>230.7+158.8+520.8+110.9+465.7+246.3+3.9+169.6+1975.3+126.5+2+97.4+199.5+165.4+184.4+1288.4+1114.2+20.1+11.6+1104.8+1285.8+113+130.6+146.2+28.7+1001+189.4+3.7+11.2+527.3+61.2-0.1+17+472.5+16.3+18.8+256.5+97.1+20+6.8+539.1+17+343.6+6.8+6.2+20.1</f>
        <v>13532.1</v>
      </c>
      <c r="E23" s="1">
        <f>D23/D18*100</f>
        <v>9.427078616461735</v>
      </c>
      <c r="F23" s="1">
        <f t="shared" si="3"/>
        <v>81.44311903414906</v>
      </c>
      <c r="G23" s="1">
        <f t="shared" si="0"/>
        <v>45.52675669674398</v>
      </c>
      <c r="H23" s="48">
        <f t="shared" si="2"/>
        <v>3083.2999999999975</v>
      </c>
      <c r="I23" s="48">
        <f t="shared" si="1"/>
        <v>16191.300000000001</v>
      </c>
    </row>
    <row r="24" spans="1:9" ht="18">
      <c r="A24" s="26" t="s">
        <v>15</v>
      </c>
      <c r="B24" s="46">
        <v>1076.8</v>
      </c>
      <c r="C24" s="47">
        <v>1591.6</v>
      </c>
      <c r="D24" s="48">
        <f>73.6+22.6+5.3+2.4+2.5+128.1+0.1+11.5+121.2+11.2-0.1+27.3+71.1+31.4-0.1+0.8+24.6+83.5+19.6+26.5+24.2+67.9+2.3+4+48.1+8.9+75.1+2+0.1</f>
        <v>895.6999999999999</v>
      </c>
      <c r="E24" s="1">
        <f>D24/D18*100</f>
        <v>0.6239855097704551</v>
      </c>
      <c r="F24" s="1">
        <f t="shared" si="3"/>
        <v>83.18164933135215</v>
      </c>
      <c r="G24" s="1">
        <f t="shared" si="0"/>
        <v>56.27670268911786</v>
      </c>
      <c r="H24" s="48">
        <f t="shared" si="2"/>
        <v>181.10000000000002</v>
      </c>
      <c r="I24" s="48">
        <f t="shared" si="1"/>
        <v>695.9</v>
      </c>
    </row>
    <row r="25" spans="1:9" ht="18.75" thickBot="1">
      <c r="A25" s="26" t="s">
        <v>34</v>
      </c>
      <c r="B25" s="47">
        <f>B18-B20-B21-B22-B23-B24</f>
        <v>8846.400000000016</v>
      </c>
      <c r="C25" s="47">
        <f>C18-C20-C21-C22-C23-C24</f>
        <v>13283.600000000011</v>
      </c>
      <c r="D25" s="47">
        <f>D18-D20-D21-D22-D23-D24</f>
        <v>3358.100000000023</v>
      </c>
      <c r="E25" s="1">
        <f>D25/D18*100</f>
        <v>2.3394057612595507</v>
      </c>
      <c r="F25" s="1">
        <f t="shared" si="3"/>
        <v>37.9600741544585</v>
      </c>
      <c r="G25" s="1">
        <f t="shared" si="0"/>
        <v>25.280044566232196</v>
      </c>
      <c r="H25" s="48">
        <f t="shared" si="2"/>
        <v>5488.299999999993</v>
      </c>
      <c r="I25" s="48">
        <f t="shared" si="1"/>
        <v>9925.499999999989</v>
      </c>
    </row>
    <row r="26" spans="1:9" ht="57" hidden="1" thickBot="1">
      <c r="A26" s="104" t="s">
        <v>85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86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87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88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89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90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91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f>33955.6-426+196.7</f>
        <v>33726.299999999996</v>
      </c>
      <c r="C33" s="50">
        <f>50266.1+19.2-3069.6+1137.5</f>
        <v>48353.2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</f>
        <v>28911.8</v>
      </c>
      <c r="E33" s="3">
        <f>D33/D150*100</f>
        <v>3.4485390960785947</v>
      </c>
      <c r="F33" s="3">
        <f>D33/B33*100</f>
        <v>85.72479044543874</v>
      </c>
      <c r="G33" s="3">
        <f t="shared" si="0"/>
        <v>59.792940281098254</v>
      </c>
      <c r="H33" s="51">
        <f t="shared" si="2"/>
        <v>4814.499999999996</v>
      </c>
      <c r="I33" s="51">
        <f t="shared" si="1"/>
        <v>19441.399999999998</v>
      </c>
    </row>
    <row r="34" spans="1:9" ht="18">
      <c r="A34" s="26" t="s">
        <v>3</v>
      </c>
      <c r="B34" s="46">
        <f>23623.2+172+196.7</f>
        <v>23991.9</v>
      </c>
      <c r="C34" s="47">
        <f>35016.6+195.2+1137.5</f>
        <v>36349.299999999996</v>
      </c>
      <c r="D34" s="48">
        <f>1335+1268.2+1354.9+1304.2+1357+1359.6+1365.6+1342.2+1381.4+3.9+1624.5+11.9+0.1+10+3950.5+2820.4+0.1+74+93.6+20+430.6+329.1+0.1+119.6</f>
        <v>21556.499999999993</v>
      </c>
      <c r="E34" s="1">
        <f>D34/D33*100</f>
        <v>74.55952240953519</v>
      </c>
      <c r="F34" s="1">
        <f t="shared" si="3"/>
        <v>89.84907406249606</v>
      </c>
      <c r="G34" s="1">
        <f t="shared" si="0"/>
        <v>59.303755505608066</v>
      </c>
      <c r="H34" s="48">
        <f t="shared" si="2"/>
        <v>2435.4000000000087</v>
      </c>
      <c r="I34" s="48">
        <f t="shared" si="1"/>
        <v>14792.800000000003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1887.1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</f>
        <v>1254.7999999999997</v>
      </c>
      <c r="E36" s="1">
        <f>D36/D33*100</f>
        <v>4.340096431214936</v>
      </c>
      <c r="F36" s="1">
        <f t="shared" si="3"/>
        <v>66.49356154946743</v>
      </c>
      <c r="G36" s="1">
        <f t="shared" si="0"/>
        <v>37.075995745183775</v>
      </c>
      <c r="H36" s="48">
        <f t="shared" si="2"/>
        <v>632.3000000000002</v>
      </c>
      <c r="I36" s="48">
        <f t="shared" si="1"/>
        <v>2129.6000000000004</v>
      </c>
    </row>
    <row r="37" spans="1:9" s="41" customFormat="1" ht="18.75">
      <c r="A37" s="20" t="s">
        <v>7</v>
      </c>
      <c r="B37" s="55">
        <v>804.9</v>
      </c>
      <c r="C37" s="56">
        <v>929.3</v>
      </c>
      <c r="D37" s="57">
        <f>11.2+19.5+15.2+5+5.7-0.1+1.9+5.1+7+0.3+7.7+25.8+82+15.4+14.3+13.2+14.4+42.6+0.1+37.6+3+2.6+0.8+1.6</f>
        <v>331.90000000000015</v>
      </c>
      <c r="E37" s="17">
        <f>D37/D33*100</f>
        <v>1.1479741835513533</v>
      </c>
      <c r="F37" s="17">
        <f t="shared" si="3"/>
        <v>41.234936016896526</v>
      </c>
      <c r="G37" s="17">
        <f t="shared" si="0"/>
        <v>35.71505434197785</v>
      </c>
      <c r="H37" s="57">
        <f t="shared" si="2"/>
        <v>472.99999999999983</v>
      </c>
      <c r="I37" s="57">
        <f t="shared" si="1"/>
        <v>597.3999999999999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0.08819928195408104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7016.899999999994</v>
      </c>
      <c r="C39" s="46">
        <f>C33-C34-C36-C37-C35-C38</f>
        <v>7629.4000000000015</v>
      </c>
      <c r="D39" s="46">
        <f>D33-D34-D36-D37-D35-D38</f>
        <v>5743.100000000007</v>
      </c>
      <c r="E39" s="1">
        <f>D39/D33*100</f>
        <v>19.864207693744447</v>
      </c>
      <c r="F39" s="1">
        <f t="shared" si="3"/>
        <v>81.84668443329693</v>
      </c>
      <c r="G39" s="1">
        <f t="shared" si="0"/>
        <v>75.27590636223039</v>
      </c>
      <c r="H39" s="48">
        <f>B39-D39</f>
        <v>1273.7999999999874</v>
      </c>
      <c r="I39" s="48">
        <f t="shared" si="1"/>
        <v>1886.2999999999947</v>
      </c>
    </row>
    <row r="40" spans="1:9" ht="19.5" hidden="1" thickBot="1">
      <c r="A40" s="104" t="s">
        <v>82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83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84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647.4+128</f>
        <v>775.4</v>
      </c>
      <c r="C43" s="50">
        <f>829.5+61+9+3+3+433</f>
        <v>1338.5</v>
      </c>
      <c r="D43" s="51">
        <f>22.2+3+5+12.1+5.3+62.1+8.7+22.7+11.7+44.1-0.1+8.7+8.3+9+2+12.1+30.9+11+14.3+28.5+0.1+1.2+34+0.6+0.1+2.3+3+1.5+17.9+19.5+82.4-0.1+0.8+8.4+18.6+22.3+0.1+13.7</f>
        <v>548.0000000000001</v>
      </c>
      <c r="E43" s="3">
        <f>D43/D150*100</f>
        <v>0.06536429501625876</v>
      </c>
      <c r="F43" s="3">
        <f>D43/B43*100</f>
        <v>70.67320092855303</v>
      </c>
      <c r="G43" s="3">
        <f t="shared" si="0"/>
        <v>40.941352259992534</v>
      </c>
      <c r="H43" s="51">
        <f t="shared" si="2"/>
        <v>227.39999999999986</v>
      </c>
      <c r="I43" s="51">
        <f t="shared" si="1"/>
        <v>790.4999999999999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5068.6</v>
      </c>
      <c r="C45" s="50">
        <f>7741.6+45.3</f>
        <v>7786.900000000001</v>
      </c>
      <c r="D45" s="51">
        <f>224.1+260.8+14.4+236.4+3.2+114.6+291.3+0.1+96+241.4+13.4+0.1+331+0.7-0.1+39.8+268.9+0.5+9.3+307.6+278.3+1.8+5.2+302.3+9.3+4.6+275.3+25.3+352.3+6.4+0.1+14.8+50.6+5.2+267.1+7.9+293.7+39+18</f>
        <v>4410.700000000001</v>
      </c>
      <c r="E45" s="3">
        <f>D45/D150*100</f>
        <v>0.5260990803434535</v>
      </c>
      <c r="F45" s="3">
        <f>D45/B45*100</f>
        <v>87.02008444146313</v>
      </c>
      <c r="G45" s="3">
        <f aca="true" t="shared" si="4" ref="G45:G76">D45/C45*100</f>
        <v>56.64256636145322</v>
      </c>
      <c r="H45" s="51">
        <f>B45-D45</f>
        <v>657.8999999999996</v>
      </c>
      <c r="I45" s="51">
        <f aca="true" t="shared" si="5" ref="I45:I77">C45-D45</f>
        <v>3376.2</v>
      </c>
    </row>
    <row r="46" spans="1:9" ht="18">
      <c r="A46" s="26" t="s">
        <v>3</v>
      </c>
      <c r="B46" s="46">
        <v>4467.5</v>
      </c>
      <c r="C46" s="47">
        <v>6753.6</v>
      </c>
      <c r="D46" s="48">
        <f>224.1+258.6+235.3+288.8+241.4+328.6+224.6+306.6+239.4+298.3+269.8+13.5+346.9+45.8+263.2+291.7-0.1+38.6</f>
        <v>3915.1000000000004</v>
      </c>
      <c r="E46" s="1">
        <f>D46/D45*100</f>
        <v>88.76368830344389</v>
      </c>
      <c r="F46" s="1">
        <f aca="true" t="shared" si="6" ref="F46:F74">D46/B46*100</f>
        <v>87.63514269725799</v>
      </c>
      <c r="G46" s="1">
        <f t="shared" si="4"/>
        <v>57.970563847429524</v>
      </c>
      <c r="H46" s="48">
        <f aca="true" t="shared" si="7" ref="H46:H74">B46-D46</f>
        <v>552.3999999999996</v>
      </c>
      <c r="I46" s="48">
        <f t="shared" si="5"/>
        <v>2838.5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0.018137710567483617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37</v>
      </c>
      <c r="C48" s="47">
        <v>70.7</v>
      </c>
      <c r="D48" s="48">
        <f>0.2+2.1+0.1+6.5+6.7-0.1+7+4.6+1.6+2+4.6</f>
        <v>35.300000000000004</v>
      </c>
      <c r="E48" s="1">
        <f>D48/D45*100</f>
        <v>0.8003264787902148</v>
      </c>
      <c r="F48" s="1">
        <f t="shared" si="6"/>
        <v>95.40540540540542</v>
      </c>
      <c r="G48" s="1">
        <f t="shared" si="4"/>
        <v>49.92927864214993</v>
      </c>
      <c r="H48" s="48">
        <f t="shared" si="7"/>
        <v>1.6999999999999957</v>
      </c>
      <c r="I48" s="48">
        <f t="shared" si="5"/>
        <v>35.4</v>
      </c>
    </row>
    <row r="49" spans="1:9" ht="18">
      <c r="A49" s="26" t="s">
        <v>0</v>
      </c>
      <c r="B49" s="46">
        <v>332.8</v>
      </c>
      <c r="C49" s="47">
        <f>568.5+40.5</f>
        <v>609</v>
      </c>
      <c r="D49" s="48">
        <f>2.2+2.5+0.8+112.4+2.2+0.1+69.1+4.4-0.1+35.2+27.4+4.8+1+22.3+2.5+1.6+0.6+4.2-0.1+0.5+5.1+0.3+0.5</f>
        <v>299.50000000000006</v>
      </c>
      <c r="E49" s="1">
        <f>D49/D45*100</f>
        <v>6.79030539370168</v>
      </c>
      <c r="F49" s="1">
        <f t="shared" si="6"/>
        <v>89.9939903846154</v>
      </c>
      <c r="G49" s="1">
        <f t="shared" si="4"/>
        <v>49.17898193760264</v>
      </c>
      <c r="H49" s="48">
        <f t="shared" si="7"/>
        <v>33.299999999999955</v>
      </c>
      <c r="I49" s="48">
        <f t="shared" si="5"/>
        <v>309.49999999999994</v>
      </c>
    </row>
    <row r="50" spans="1:9" ht="18.75" thickBot="1">
      <c r="A50" s="26" t="s">
        <v>34</v>
      </c>
      <c r="B50" s="47">
        <f>B45-B46-B49-B48-B47</f>
        <v>230.50000000000034</v>
      </c>
      <c r="C50" s="47">
        <f>C45-C46-C49-C48-C47</f>
        <v>352.3000000000002</v>
      </c>
      <c r="D50" s="47">
        <f>D45-D46-D49-D48-D47</f>
        <v>160.00000000000028</v>
      </c>
      <c r="E50" s="1">
        <f>D50/D45*100</f>
        <v>3.62754211349673</v>
      </c>
      <c r="F50" s="1">
        <f t="shared" si="6"/>
        <v>69.41431670281997</v>
      </c>
      <c r="G50" s="1">
        <f t="shared" si="4"/>
        <v>45.41583877377241</v>
      </c>
      <c r="H50" s="48">
        <f t="shared" si="7"/>
        <v>70.50000000000006</v>
      </c>
      <c r="I50" s="48">
        <f t="shared" si="5"/>
        <v>192.2999999999999</v>
      </c>
    </row>
    <row r="51" spans="1:9" ht="18.75" thickBot="1">
      <c r="A51" s="25" t="s">
        <v>4</v>
      </c>
      <c r="B51" s="49">
        <f>11606.9-25</f>
        <v>11581.9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</f>
        <v>8790.699999999995</v>
      </c>
      <c r="E51" s="3">
        <f>D51/D150*100</f>
        <v>1.0485363288310685</v>
      </c>
      <c r="F51" s="3">
        <f>D51/B51*100</f>
        <v>75.90032723473692</v>
      </c>
      <c r="G51" s="3">
        <f t="shared" si="4"/>
        <v>51.28433997818107</v>
      </c>
      <c r="H51" s="51">
        <f>B51-D51</f>
        <v>2791.2000000000044</v>
      </c>
      <c r="I51" s="51">
        <f t="shared" si="5"/>
        <v>8350.400000000003</v>
      </c>
    </row>
    <row r="52" spans="1:9" ht="18">
      <c r="A52" s="26" t="s">
        <v>3</v>
      </c>
      <c r="B52" s="46">
        <v>6808.9</v>
      </c>
      <c r="C52" s="47">
        <v>10328.7</v>
      </c>
      <c r="D52" s="48">
        <f>8+294.9+437.7+298.5+423.7+297.9+451.2+294.5+446+301+554.2+412+820.4+487.4+393.4+0.1</f>
        <v>5920.899999999999</v>
      </c>
      <c r="E52" s="1">
        <f>D52/D51*100</f>
        <v>67.35413562059907</v>
      </c>
      <c r="F52" s="1">
        <f t="shared" si="6"/>
        <v>86.95824582531685</v>
      </c>
      <c r="G52" s="1">
        <f t="shared" si="4"/>
        <v>57.32473592998149</v>
      </c>
      <c r="H52" s="48">
        <f t="shared" si="7"/>
        <v>888.0000000000009</v>
      </c>
      <c r="I52" s="48">
        <f t="shared" si="5"/>
        <v>4407.800000000002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179.8</v>
      </c>
      <c r="C54" s="47">
        <v>287</v>
      </c>
      <c r="D54" s="48">
        <f>1.3+0.7+2.1+1+1.3+7.6+7.5+6.3+0.4+13+20.7+0.5+5.3+9.4+10+8.9+5.1+7.2+1-0.1+17.9+7.1+3.8+1.6+1.9</f>
        <v>141.50000000000003</v>
      </c>
      <c r="E54" s="1">
        <f>D54/D51*100</f>
        <v>1.6096556588212554</v>
      </c>
      <c r="F54" s="1">
        <f t="shared" si="6"/>
        <v>78.69855394883206</v>
      </c>
      <c r="G54" s="1">
        <f t="shared" si="4"/>
        <v>49.30313588850176</v>
      </c>
      <c r="H54" s="48">
        <f t="shared" si="7"/>
        <v>38.29999999999998</v>
      </c>
      <c r="I54" s="48">
        <f t="shared" si="5"/>
        <v>145.49999999999997</v>
      </c>
    </row>
    <row r="55" spans="1:9" ht="18">
      <c r="A55" s="26" t="s">
        <v>0</v>
      </c>
      <c r="B55" s="46">
        <v>593.6</v>
      </c>
      <c r="C55" s="47">
        <v>933.1</v>
      </c>
      <c r="D55" s="48">
        <f>10.7+0.6+7.6+85.1+28.4+14.4+0.1+8.5+0.1+7+0.1+7.7+62.8+6+1.3+0.9+0.9+1+0.7+0.1+4.7+15.2+34.9+9+4+15.8+5.5+7+1.9+1.5+0.1+2.4+1.8+3.7+1.3+4.5+2.3+0.7+0.1+1.8+6.8+1.6+0.7</f>
        <v>371.3</v>
      </c>
      <c r="E55" s="1">
        <f>D55/D51*100</f>
        <v>4.223781951380438</v>
      </c>
      <c r="F55" s="1">
        <f t="shared" si="6"/>
        <v>62.55053908355796</v>
      </c>
      <c r="G55" s="1">
        <f t="shared" si="4"/>
        <v>39.792090879862826</v>
      </c>
      <c r="H55" s="48">
        <f t="shared" si="7"/>
        <v>222.3</v>
      </c>
      <c r="I55" s="48">
        <f t="shared" si="5"/>
        <v>561.8</v>
      </c>
    </row>
    <row r="56" spans="1:9" ht="18">
      <c r="A56" s="26" t="s">
        <v>15</v>
      </c>
      <c r="B56" s="46">
        <v>200</v>
      </c>
      <c r="C56" s="47">
        <v>200</v>
      </c>
      <c r="D56" s="47">
        <f>40+40</f>
        <v>80</v>
      </c>
      <c r="E56" s="1">
        <f>D56/D51*100</f>
        <v>0.9100526692982361</v>
      </c>
      <c r="F56" s="1">
        <f>D56/B56*100</f>
        <v>40</v>
      </c>
      <c r="G56" s="1">
        <f>D56/C56*100</f>
        <v>40</v>
      </c>
      <c r="H56" s="48">
        <f t="shared" si="7"/>
        <v>120</v>
      </c>
      <c r="I56" s="48">
        <f t="shared" si="5"/>
        <v>120</v>
      </c>
    </row>
    <row r="57" spans="1:9" ht="18.75" thickBot="1">
      <c r="A57" s="26" t="s">
        <v>34</v>
      </c>
      <c r="B57" s="47">
        <f>B51-B52-B55-B54-B53-B56</f>
        <v>3799.5999999999995</v>
      </c>
      <c r="C57" s="47">
        <f>C51-C52-C55-C54-C53-C56</f>
        <v>5380.299999999997</v>
      </c>
      <c r="D57" s="47">
        <f>D51-D52-D55-D54-D53-D56</f>
        <v>2276.9999999999964</v>
      </c>
      <c r="E57" s="1">
        <f>D57/D51*100</f>
        <v>25.902374099901003</v>
      </c>
      <c r="F57" s="1">
        <f t="shared" si="6"/>
        <v>59.92736077481832</v>
      </c>
      <c r="G57" s="1">
        <f t="shared" si="4"/>
        <v>42.321060163931335</v>
      </c>
      <c r="H57" s="48">
        <f>B57-D57</f>
        <v>1522.600000000003</v>
      </c>
      <c r="I57" s="48">
        <f>C57-D57</f>
        <v>3103.300000000001</v>
      </c>
    </row>
    <row r="58" spans="1:9" s="41" customFormat="1" ht="19.5" hidden="1" thickBot="1">
      <c r="A58" s="104" t="s">
        <v>81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v>5287.8</v>
      </c>
      <c r="C59" s="50">
        <f>5881.8+134.4+115.2</f>
        <v>6131.4</v>
      </c>
      <c r="D59" s="51">
        <f>43.5+4.7+72.8+47.2+46+5+62.5+3.8+40.9+35.3+2.1+2.9+21.1+3.9+86.8+0.2+2.7+44.1+47.3+140.1+0.1+45.6+13.8+0.9+95.5-0.1+6.7+60.6+0.7+0.5+92.7+2.8+4+111.8+66.3+34+5.8+77.7+2.3+68.7+75.6+2</f>
        <v>1480.8999999999999</v>
      </c>
      <c r="E59" s="3">
        <f>D59/D150*100</f>
        <v>0.17663865782769633</v>
      </c>
      <c r="F59" s="3">
        <f>D59/B59*100</f>
        <v>28.005976020273078</v>
      </c>
      <c r="G59" s="3">
        <f t="shared" si="4"/>
        <v>24.152722053690837</v>
      </c>
      <c r="H59" s="51">
        <f>B59-D59</f>
        <v>3806.9000000000005</v>
      </c>
      <c r="I59" s="51">
        <f t="shared" si="5"/>
        <v>4650.5</v>
      </c>
    </row>
    <row r="60" spans="1:9" ht="18">
      <c r="A60" s="26" t="s">
        <v>3</v>
      </c>
      <c r="B60" s="46">
        <v>1124.3</v>
      </c>
      <c r="C60" s="47">
        <f>1508.2+134.4</f>
        <v>1642.6000000000001</v>
      </c>
      <c r="D60" s="48">
        <f>43.5+72.8+47.2+62.5+0.1+35.3+86.8+44.1+125.7+41.4+92.3+60.6+92.7+66.3+68.7-0.1+2</f>
        <v>941.9</v>
      </c>
      <c r="E60" s="1">
        <f>D60/D59*100</f>
        <v>63.603214261597685</v>
      </c>
      <c r="F60" s="1">
        <f t="shared" si="6"/>
        <v>83.7765720893</v>
      </c>
      <c r="G60" s="1">
        <f t="shared" si="4"/>
        <v>57.34201875076098</v>
      </c>
      <c r="H60" s="48">
        <f t="shared" si="7"/>
        <v>182.39999999999998</v>
      </c>
      <c r="I60" s="48">
        <f t="shared" si="5"/>
        <v>700.7000000000002</v>
      </c>
    </row>
    <row r="61" spans="1:9" ht="18">
      <c r="A61" s="26" t="s">
        <v>1</v>
      </c>
      <c r="B61" s="46">
        <v>331.8</v>
      </c>
      <c r="C61" s="47">
        <v>331.8</v>
      </c>
      <c r="D61" s="48">
        <f>111.8+77.7+75.6</f>
        <v>265.1</v>
      </c>
      <c r="E61" s="1">
        <f>D61/D59*100</f>
        <v>17.901276250928493</v>
      </c>
      <c r="F61" s="1">
        <f>D61/B61*100</f>
        <v>79.89752863170585</v>
      </c>
      <c r="G61" s="1">
        <f t="shared" si="4"/>
        <v>79.89752863170585</v>
      </c>
      <c r="H61" s="48">
        <f t="shared" si="7"/>
        <v>66.69999999999999</v>
      </c>
      <c r="I61" s="48">
        <f t="shared" si="5"/>
        <v>66.69999999999999</v>
      </c>
    </row>
    <row r="62" spans="1:9" ht="18">
      <c r="A62" s="26" t="s">
        <v>0</v>
      </c>
      <c r="B62" s="46">
        <v>372.4</v>
      </c>
      <c r="C62" s="47">
        <v>627.5</v>
      </c>
      <c r="D62" s="48">
        <f>4.7+45.7+4.9+40.9+19.8+3.9+46.3+9+12.6+0.9+3+0.3+2.8+0.3+0.1+2.2</f>
        <v>197.4</v>
      </c>
      <c r="E62" s="1">
        <f>D62/D59*100</f>
        <v>13.329731919778515</v>
      </c>
      <c r="F62" s="1">
        <f t="shared" si="6"/>
        <v>53.00751879699248</v>
      </c>
      <c r="G62" s="1">
        <f t="shared" si="4"/>
        <v>31.458167330677288</v>
      </c>
      <c r="H62" s="48">
        <f t="shared" si="7"/>
        <v>174.99999999999997</v>
      </c>
      <c r="I62" s="48">
        <f t="shared" si="5"/>
        <v>430.1</v>
      </c>
    </row>
    <row r="63" spans="1:9" ht="18">
      <c r="A63" s="26" t="s">
        <v>15</v>
      </c>
      <c r="B63" s="46">
        <v>3331.4</v>
      </c>
      <c r="C63" s="47">
        <f>3216.2+115.2</f>
        <v>3331.3999999999996</v>
      </c>
      <c r="D63" s="48"/>
      <c r="E63" s="1">
        <f>D63/D59*100</f>
        <v>0</v>
      </c>
      <c r="F63" s="1">
        <f t="shared" si="6"/>
        <v>0</v>
      </c>
      <c r="G63" s="1">
        <f t="shared" si="4"/>
        <v>0</v>
      </c>
      <c r="H63" s="48">
        <f t="shared" si="7"/>
        <v>3331.4</v>
      </c>
      <c r="I63" s="48">
        <f t="shared" si="5"/>
        <v>3331.3999999999996</v>
      </c>
    </row>
    <row r="64" spans="1:9" ht="18.75" thickBot="1">
      <c r="A64" s="26" t="s">
        <v>34</v>
      </c>
      <c r="B64" s="47">
        <f>B59-B60-B62-B63-B61</f>
        <v>127.8999999999998</v>
      </c>
      <c r="C64" s="47">
        <f>C59-C60-C62-C63-C61</f>
        <v>198.09999999999962</v>
      </c>
      <c r="D64" s="47">
        <f>D59-D60-D62-D63-D61</f>
        <v>76.49999999999989</v>
      </c>
      <c r="E64" s="1">
        <f>D64/D59*100</f>
        <v>5.165777567695313</v>
      </c>
      <c r="F64" s="1">
        <f t="shared" si="6"/>
        <v>59.81235340109461</v>
      </c>
      <c r="G64" s="1">
        <f t="shared" si="4"/>
        <v>38.616860171630506</v>
      </c>
      <c r="H64" s="48">
        <f t="shared" si="7"/>
        <v>51.39999999999992</v>
      </c>
      <c r="I64" s="48">
        <f t="shared" si="5"/>
        <v>121.59999999999974</v>
      </c>
    </row>
    <row r="65" spans="1:9" s="41" customFormat="1" ht="19.5" hidden="1" thickBot="1">
      <c r="A65" s="104" t="s">
        <v>92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78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79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80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208.6</v>
      </c>
      <c r="C69" s="50">
        <f>C70+C71</f>
        <v>369.7</v>
      </c>
      <c r="D69" s="51">
        <f>SUM(D70:D71)</f>
        <v>179.5</v>
      </c>
      <c r="E69" s="39">
        <f>D69/D150*100</f>
        <v>0.02141038495514315</v>
      </c>
      <c r="F69" s="3">
        <f>D69/B69*100</f>
        <v>86.04985618408438</v>
      </c>
      <c r="G69" s="3">
        <f t="shared" si="4"/>
        <v>48.55288071409251</v>
      </c>
      <c r="H69" s="51">
        <f>B69-D69</f>
        <v>29.099999999999994</v>
      </c>
      <c r="I69" s="51">
        <f t="shared" si="5"/>
        <v>190.2</v>
      </c>
    </row>
    <row r="70" spans="1:9" ht="18">
      <c r="A70" s="26" t="s">
        <v>8</v>
      </c>
      <c r="B70" s="46">
        <v>170.9</v>
      </c>
      <c r="C70" s="47">
        <v>171</v>
      </c>
      <c r="D70" s="48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8">
        <f t="shared" si="7"/>
        <v>1</v>
      </c>
      <c r="I70" s="48">
        <f t="shared" si="5"/>
        <v>1.0999999999999943</v>
      </c>
    </row>
    <row r="71" spans="1:9" ht="18.75" thickBot="1">
      <c r="A71" s="26" t="s">
        <v>9</v>
      </c>
      <c r="B71" s="46">
        <f>198.7-161</f>
        <v>37.69999999999999</v>
      </c>
      <c r="C71" s="47">
        <f>253.4-6+145-41+16.1-168.8</f>
        <v>198.7</v>
      </c>
      <c r="D71" s="48">
        <f>9.6</f>
        <v>9.6</v>
      </c>
      <c r="E71" s="1">
        <f>D71/D70*100</f>
        <v>5.650382577987051</v>
      </c>
      <c r="F71" s="1">
        <f t="shared" si="6"/>
        <v>25.464190981432367</v>
      </c>
      <c r="G71" s="1">
        <f t="shared" si="4"/>
        <v>4.831404126824358</v>
      </c>
      <c r="H71" s="48">
        <f t="shared" si="7"/>
        <v>28.099999999999987</v>
      </c>
      <c r="I71" s="48">
        <f t="shared" si="5"/>
        <v>189.1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v>426</v>
      </c>
      <c r="C77" s="66">
        <f>10000-8192+3069.6</f>
        <v>4877.6</v>
      </c>
      <c r="D77" s="67"/>
      <c r="E77" s="45"/>
      <c r="F77" s="45"/>
      <c r="G77" s="45"/>
      <c r="H77" s="67">
        <f>B77-D77</f>
        <v>426</v>
      </c>
      <c r="I77" s="67">
        <f t="shared" si="5"/>
        <v>4877.6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72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71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f>41178.9+123.9</f>
        <v>41302.8</v>
      </c>
      <c r="C90" s="50">
        <f>50201.5+5861+2853.8+11.8-0.1+368.5</f>
        <v>59296.50000000001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+910.7+0.1+62.6+74.1+335.3+57.9+3.2+16.1+45.5+127.9+241.6+813.9+349.3+10.7+91.6+15.8+3.9+28.2+5.5+480.3+911.5+1173.2+22.1+24+92.6+21.3+38.1</f>
        <v>33312.7</v>
      </c>
      <c r="E90" s="3">
        <f>D90/D150*100</f>
        <v>3.9734692528980347</v>
      </c>
      <c r="F90" s="3">
        <f aca="true" t="shared" si="10" ref="F90:F96">D90/B90*100</f>
        <v>80.65482243334591</v>
      </c>
      <c r="G90" s="3">
        <f t="shared" si="8"/>
        <v>56.17987570935888</v>
      </c>
      <c r="H90" s="51">
        <f aca="true" t="shared" si="11" ref="H90:H96">B90-D90</f>
        <v>7990.100000000006</v>
      </c>
      <c r="I90" s="51">
        <f t="shared" si="9"/>
        <v>25983.80000000001</v>
      </c>
    </row>
    <row r="91" spans="1:9" ht="18">
      <c r="A91" s="26" t="s">
        <v>3</v>
      </c>
      <c r="B91" s="46">
        <f>34565.2+33</f>
        <v>34598.2</v>
      </c>
      <c r="C91" s="47">
        <f>41785.6+5825.3+1852.2+217.6</f>
        <v>49680.7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</f>
        <v>28419.500000000004</v>
      </c>
      <c r="E91" s="1">
        <f>D91/D90*100</f>
        <v>85.31130769946598</v>
      </c>
      <c r="F91" s="1">
        <f t="shared" si="10"/>
        <v>82.14155649715883</v>
      </c>
      <c r="G91" s="1">
        <f t="shared" si="8"/>
        <v>57.204306702602835</v>
      </c>
      <c r="H91" s="48">
        <f t="shared" si="11"/>
        <v>6178.699999999993</v>
      </c>
      <c r="I91" s="48">
        <f t="shared" si="9"/>
        <v>21261.199999999993</v>
      </c>
    </row>
    <row r="92" spans="1:9" ht="18">
      <c r="A92" s="26" t="s">
        <v>32</v>
      </c>
      <c r="B92" s="46">
        <v>1280.6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9.8+96.8+35.3+50.2+1.4+30+1.1+18.1+138.1+43.8+4.2+9.3+27.5+5.8+0.2+2.4+1+11.7+14.7+34.3+26.9+2.8+30.4+0.1+10.2+1.4+0.2+22+131.7+1.9+1.6+30.8+150.2+0.9+0.6+2.2+0.6+31.6+20.6+1+0.3+3+17.7+35.6</f>
        <v>1059.9999999999998</v>
      </c>
      <c r="E92" s="1">
        <f>D92/D90*100</f>
        <v>3.1819696392066685</v>
      </c>
      <c r="F92" s="1">
        <f t="shared" si="10"/>
        <v>82.77369982820552</v>
      </c>
      <c r="G92" s="1">
        <f t="shared" si="8"/>
        <v>49.96700292259827</v>
      </c>
      <c r="H92" s="48">
        <f t="shared" si="11"/>
        <v>220.60000000000014</v>
      </c>
      <c r="I92" s="48">
        <f t="shared" si="9"/>
        <v>1061.4000000000003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5424.0000000000055</v>
      </c>
      <c r="C94" s="47">
        <f>C90-C91-C92-C93</f>
        <v>7494.400000000011</v>
      </c>
      <c r="D94" s="47">
        <f>D90-D91-D92-D93</f>
        <v>3833.1999999999935</v>
      </c>
      <c r="E94" s="1">
        <f>D94/D90*100</f>
        <v>11.506722661327343</v>
      </c>
      <c r="F94" s="1">
        <f t="shared" si="10"/>
        <v>70.67109144542754</v>
      </c>
      <c r="G94" s="1">
        <f>D94/C94*100</f>
        <v>51.14752348420137</v>
      </c>
      <c r="H94" s="48">
        <f t="shared" si="11"/>
        <v>1590.800000000012</v>
      </c>
      <c r="I94" s="48">
        <f>C94-D94</f>
        <v>3661.200000000017</v>
      </c>
    </row>
    <row r="95" spans="1:9" ht="18.75">
      <c r="A95" s="116" t="s">
        <v>12</v>
      </c>
      <c r="B95" s="119">
        <f>58976.8+3744.2</f>
        <v>62721</v>
      </c>
      <c r="C95" s="121">
        <f>63500.4+11490.6+4535.2-1.1-1111.2</f>
        <v>78413.9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</f>
        <v>52299.5</v>
      </c>
      <c r="E95" s="115">
        <f>D95/D150*100</f>
        <v>6.2381750861365415</v>
      </c>
      <c r="F95" s="118">
        <f t="shared" si="10"/>
        <v>83.38435292804643</v>
      </c>
      <c r="G95" s="114">
        <f>D95/C95*100</f>
        <v>66.69672086199003</v>
      </c>
      <c r="H95" s="120">
        <f t="shared" si="11"/>
        <v>10421.5</v>
      </c>
      <c r="I95" s="130">
        <f>C95-D95</f>
        <v>26114.399999999994</v>
      </c>
    </row>
    <row r="96" spans="1:9" ht="18.75" thickBot="1">
      <c r="A96" s="117" t="s">
        <v>99</v>
      </c>
      <c r="B96" s="122">
        <f>3926.8+400</f>
        <v>4326.8</v>
      </c>
      <c r="C96" s="123">
        <f>5343.5+287.2+2416.8</f>
        <v>8047.5</v>
      </c>
      <c r="D96" s="124">
        <f>57.3+368.5+61.1+0.1+320+59+0.8+309+245.5+61.2+0.4-0.1+489+12.5+64.8+24.2+437.3+329.2+2.4+382.5+3.4+31.2+13.3+8.3+121.6+67.7+4.1</f>
        <v>3474.3</v>
      </c>
      <c r="E96" s="125">
        <f>D96/D95*100</f>
        <v>6.643084541917227</v>
      </c>
      <c r="F96" s="126">
        <f t="shared" si="10"/>
        <v>80.2972173430711</v>
      </c>
      <c r="G96" s="127">
        <f>D96/C96*100</f>
        <v>43.172413793103445</v>
      </c>
      <c r="H96" s="131">
        <f t="shared" si="11"/>
        <v>852.5</v>
      </c>
      <c r="I96" s="132">
        <f>C96-D96</f>
        <v>4573.2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f>6787.5+75.6</f>
        <v>6863.1</v>
      </c>
      <c r="C102" s="100">
        <f>10703.3-154-3.5-134.3+83.4</f>
        <v>10494.9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</f>
        <v>4983.700000000001</v>
      </c>
      <c r="E102" s="22">
        <f>D102/D150*100</f>
        <v>0.5944453231250526</v>
      </c>
      <c r="F102" s="22">
        <f>D102/B102*100</f>
        <v>72.61587329340969</v>
      </c>
      <c r="G102" s="22">
        <f aca="true" t="shared" si="12" ref="G102:G148">D102/C102*100</f>
        <v>47.48687457717559</v>
      </c>
      <c r="H102" s="87">
        <f aca="true" t="shared" si="13" ref="H102:H107">B102-D102</f>
        <v>1879.3999999999996</v>
      </c>
      <c r="I102" s="87">
        <f aca="true" t="shared" si="14" ref="I102:I148">C102-D102</f>
        <v>5511.199999999999</v>
      </c>
    </row>
    <row r="103" spans="1:9" ht="18">
      <c r="A103" s="26" t="s">
        <v>3</v>
      </c>
      <c r="B103" s="97">
        <v>91.9</v>
      </c>
      <c r="C103" s="95">
        <v>187.6</v>
      </c>
      <c r="D103" s="95">
        <f>15.1+18.9-0.1+18.6</f>
        <v>52.5</v>
      </c>
      <c r="E103" s="91">
        <f>D103/D102*100</f>
        <v>1.0534341954772557</v>
      </c>
      <c r="F103" s="1">
        <f>D103/B103*100</f>
        <v>57.12731229597389</v>
      </c>
      <c r="G103" s="91">
        <f>D103/C103*100</f>
        <v>27.985074626865675</v>
      </c>
      <c r="H103" s="95">
        <f t="shared" si="13"/>
        <v>39.400000000000006</v>
      </c>
      <c r="I103" s="95">
        <f t="shared" si="14"/>
        <v>135.1</v>
      </c>
    </row>
    <row r="104" spans="1:9" ht="18">
      <c r="A104" s="93" t="s">
        <v>60</v>
      </c>
      <c r="B104" s="78">
        <f>5507.2+17.5</f>
        <v>5524.7</v>
      </c>
      <c r="C104" s="48">
        <f>8863.3-154-3.5-134.3+25.3</f>
        <v>8596.8</v>
      </c>
      <c r="D104" s="48">
        <f>39.8+388.5+20.6+2+26+40+4.1+126.5+407.9+18+31.2+40.6+134.1+2+40+303.9+135.8+32.6+7.9+0.1+62.1+159.2+45.1+355.5+2+51.4+35.4+235.2+53.1+32+115.3+110.8+43.6+27+79.7+149.6+58+51.2+190+5+10+27.6+137.4+57.3+28.2+0.1+71.7+17.8+134.5+24.2+4+36.4+12.5+21+2+45.1+54.9-0.2+3.6</f>
        <v>4350.9</v>
      </c>
      <c r="E104" s="1">
        <f>D104/D102*100</f>
        <v>87.30260649718079</v>
      </c>
      <c r="F104" s="1">
        <f aca="true" t="shared" si="15" ref="F104:F148">D104/B104*100</f>
        <v>78.75359748040617</v>
      </c>
      <c r="G104" s="1">
        <f t="shared" si="12"/>
        <v>50.6106923506421</v>
      </c>
      <c r="H104" s="48">
        <f t="shared" si="13"/>
        <v>1173.8000000000002</v>
      </c>
      <c r="I104" s="48">
        <f t="shared" si="14"/>
        <v>4245.9</v>
      </c>
    </row>
    <row r="105" spans="1:9" ht="54.75" hidden="1" thickBot="1">
      <c r="A105" s="94" t="s">
        <v>95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1246.500000000001</v>
      </c>
      <c r="C106" s="96">
        <f>C102-C103-C104</f>
        <v>1710.5</v>
      </c>
      <c r="D106" s="96">
        <f>D102-D103-D104</f>
        <v>580.3000000000011</v>
      </c>
      <c r="E106" s="92">
        <f>D106/D102*100</f>
        <v>11.643959307341953</v>
      </c>
      <c r="F106" s="92">
        <f t="shared" si="15"/>
        <v>46.55435218612119</v>
      </c>
      <c r="G106" s="92">
        <f t="shared" si="12"/>
        <v>33.92575270388782</v>
      </c>
      <c r="H106" s="132">
        <f>B106-D106</f>
        <v>666.1999999999998</v>
      </c>
      <c r="I106" s="132">
        <f t="shared" si="14"/>
        <v>1130.199999999999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392632.5</v>
      </c>
      <c r="C107" s="89">
        <f>SUM(C108:C147)-C115-C119+C148-C139-C140-C109-C112-C122-C123-C137-C131-C129</f>
        <v>563446.5999999999</v>
      </c>
      <c r="D107" s="89">
        <f>SUM(D108:D147)-D115-D119+D148-D139-D140-D109-D112-D122-D123-D137-D131-D129</f>
        <v>312222.50000000006</v>
      </c>
      <c r="E107" s="90">
        <f>D107/D150*100</f>
        <v>37.24124744655813</v>
      </c>
      <c r="F107" s="90">
        <f>D107/B107*100</f>
        <v>79.52028932908</v>
      </c>
      <c r="G107" s="90">
        <f t="shared" si="12"/>
        <v>55.41297081214087</v>
      </c>
      <c r="H107" s="89">
        <f t="shared" si="13"/>
        <v>80409.99999999994</v>
      </c>
      <c r="I107" s="89">
        <f t="shared" si="14"/>
        <v>251224.0999999998</v>
      </c>
    </row>
    <row r="108" spans="1:9" ht="37.5">
      <c r="A108" s="31" t="s">
        <v>64</v>
      </c>
      <c r="B108" s="75">
        <v>1372</v>
      </c>
      <c r="C108" s="71">
        <v>2166.2</v>
      </c>
      <c r="D108" s="76">
        <f>142.7+0.9+78.6+37.4+44.2+140.1+1+20.9+25.7+0.2+2+0.6+0.4+1.8+1.5-0.1+62.6+2.1+1.9+2.9+1+9.8+0.1+52+4.8+2+1.2+2+5.2+2.6-0.1+56.3+43+2.2+0.3+6.3+0.1+46.4+1.3</f>
        <v>803.8999999999997</v>
      </c>
      <c r="E108" s="6">
        <f>D108/D107*100</f>
        <v>0.2574766392556589</v>
      </c>
      <c r="F108" s="6">
        <f t="shared" si="15"/>
        <v>58.593294460641374</v>
      </c>
      <c r="G108" s="6">
        <f t="shared" si="12"/>
        <v>37.11107007663188</v>
      </c>
      <c r="H108" s="65">
        <f aca="true" t="shared" si="16" ref="H108:H148">B108-D108</f>
        <v>568.1000000000003</v>
      </c>
      <c r="I108" s="65">
        <f t="shared" si="14"/>
        <v>1362.3000000000002</v>
      </c>
    </row>
    <row r="109" spans="1:9" ht="18">
      <c r="A109" s="26" t="s">
        <v>32</v>
      </c>
      <c r="B109" s="78">
        <v>725.6</v>
      </c>
      <c r="C109" s="48">
        <v>1213.5</v>
      </c>
      <c r="D109" s="79">
        <f>142.7+0.9+78.6+37.4+20.9+42.5+24.8+0.6+32.7+0.1+16.7</f>
        <v>397.9</v>
      </c>
      <c r="E109" s="1">
        <f>D109/D108*100</f>
        <v>49.49620599577063</v>
      </c>
      <c r="F109" s="1">
        <f t="shared" si="15"/>
        <v>54.837375964718845</v>
      </c>
      <c r="G109" s="1">
        <f t="shared" si="12"/>
        <v>32.78945199835187</v>
      </c>
      <c r="H109" s="48">
        <f t="shared" si="16"/>
        <v>327.70000000000005</v>
      </c>
      <c r="I109" s="48">
        <f t="shared" si="14"/>
        <v>815.6</v>
      </c>
    </row>
    <row r="110" spans="1:9" ht="34.5" customHeight="1">
      <c r="A110" s="16" t="s">
        <v>94</v>
      </c>
      <c r="B110" s="77">
        <v>412.7</v>
      </c>
      <c r="C110" s="65">
        <v>778.3</v>
      </c>
      <c r="D110" s="76">
        <f>26.5+20.2+7.7+37.4+7.5+38.9-0.1+38.9+12.6+45.5+9.7+1.6+37.6-0.1</f>
        <v>283.9</v>
      </c>
      <c r="E110" s="6">
        <f>D110/D107*100</f>
        <v>0.09092874472531605</v>
      </c>
      <c r="F110" s="6">
        <f>D110/B110*100</f>
        <v>68.79088926581052</v>
      </c>
      <c r="G110" s="6">
        <f t="shared" si="12"/>
        <v>36.47693691378645</v>
      </c>
      <c r="H110" s="65">
        <f t="shared" si="16"/>
        <v>128.8</v>
      </c>
      <c r="I110" s="65">
        <f t="shared" si="14"/>
        <v>494.4</v>
      </c>
    </row>
    <row r="111" spans="1:9" s="41" customFormat="1" ht="34.5" customHeight="1">
      <c r="A111" s="16" t="s">
        <v>70</v>
      </c>
      <c r="B111" s="77">
        <v>631.6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631.6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114</v>
      </c>
      <c r="B113" s="77">
        <v>50</v>
      </c>
      <c r="C113" s="65">
        <v>50</v>
      </c>
      <c r="D113" s="76">
        <f>5.8+4.7+0.7+0.7+1</f>
        <v>12.899999999999999</v>
      </c>
      <c r="E113" s="6">
        <f>D113/D107*100</f>
        <v>0.004131668922002737</v>
      </c>
      <c r="F113" s="6">
        <f t="shared" si="15"/>
        <v>25.799999999999994</v>
      </c>
      <c r="G113" s="6">
        <f t="shared" si="12"/>
        <v>25.799999999999994</v>
      </c>
      <c r="H113" s="65">
        <f t="shared" si="16"/>
        <v>37.1</v>
      </c>
      <c r="I113" s="65">
        <f t="shared" si="14"/>
        <v>37.1</v>
      </c>
    </row>
    <row r="114" spans="1:9" ht="37.5">
      <c r="A114" s="16" t="s">
        <v>46</v>
      </c>
      <c r="B114" s="77">
        <v>1190.7</v>
      </c>
      <c r="C114" s="65">
        <v>1795.8</v>
      </c>
      <c r="D114" s="76">
        <f>82.2+4.4+0.2+16.8+100.8+0.1+8.3+21.3+93.2+14.5+11.8+88.2+4.6+1.1+5.8+6+2.3+112.3+12.6+0.8+1.5+0.2+0.2+72.9+5.6+10.9+0.3+11.7+5.8+0.6+108.3+0.1+3</f>
        <v>808.4000000000001</v>
      </c>
      <c r="E114" s="6">
        <f>D114/D107*100</f>
        <v>0.25891791911217155</v>
      </c>
      <c r="F114" s="6">
        <f t="shared" si="15"/>
        <v>67.8928361468044</v>
      </c>
      <c r="G114" s="6">
        <f t="shared" si="12"/>
        <v>45.01614879162491</v>
      </c>
      <c r="H114" s="65">
        <f t="shared" si="16"/>
        <v>382.29999999999995</v>
      </c>
      <c r="I114" s="65">
        <f t="shared" si="14"/>
        <v>987.3999999999999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115</v>
      </c>
      <c r="B116" s="77">
        <v>96.5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96.5</v>
      </c>
      <c r="I116" s="57">
        <f t="shared" si="14"/>
        <v>264.5</v>
      </c>
    </row>
    <row r="117" spans="1:9" ht="37.5">
      <c r="A117" s="16" t="s">
        <v>57</v>
      </c>
      <c r="B117" s="77">
        <v>105</v>
      </c>
      <c r="C117" s="65">
        <v>110</v>
      </c>
      <c r="D117" s="76">
        <f>15</f>
        <v>15</v>
      </c>
      <c r="E117" s="6">
        <f>D117/D107*100</f>
        <v>0.004804266188375276</v>
      </c>
      <c r="F117" s="6">
        <f>D117/B117*100</f>
        <v>14.285714285714285</v>
      </c>
      <c r="G117" s="6">
        <f t="shared" si="12"/>
        <v>13.636363636363635</v>
      </c>
      <c r="H117" s="65">
        <f t="shared" si="16"/>
        <v>90</v>
      </c>
      <c r="I117" s="65">
        <f t="shared" si="14"/>
        <v>95</v>
      </c>
    </row>
    <row r="118" spans="1:9" s="2" customFormat="1" ht="18.75">
      <c r="A118" s="16" t="s">
        <v>16</v>
      </c>
      <c r="B118" s="77">
        <v>141.6</v>
      </c>
      <c r="C118" s="57">
        <f>229.6+4.4</f>
        <v>234</v>
      </c>
      <c r="D118" s="76">
        <f>17.1-0.3+0.8+0.3+21.4+4.2+0.3+17.6+4.2+0.8+0.3+16.8+0.3+2+2.2+17.7+1.1+4.1+17.7+0.8+4.3+0.3</f>
        <v>134</v>
      </c>
      <c r="E118" s="6">
        <f>D118/D107*100</f>
        <v>0.04291811128281913</v>
      </c>
      <c r="F118" s="6">
        <f t="shared" si="15"/>
        <v>94.63276836158192</v>
      </c>
      <c r="G118" s="6">
        <f t="shared" si="12"/>
        <v>57.26495726495726</v>
      </c>
      <c r="H118" s="65">
        <f t="shared" si="16"/>
        <v>7.599999999999994</v>
      </c>
      <c r="I118" s="65">
        <f t="shared" si="14"/>
        <v>100</v>
      </c>
    </row>
    <row r="119" spans="1:9" s="36" customFormat="1" ht="18">
      <c r="A119" s="37" t="s">
        <v>53</v>
      </c>
      <c r="B119" s="78">
        <v>102.6</v>
      </c>
      <c r="C119" s="48">
        <f>170.2+4.4</f>
        <v>174.6</v>
      </c>
      <c r="D119" s="79">
        <f>17.1-0.3+16.8+16.8+16.8+17.7+17.7</f>
        <v>102.60000000000001</v>
      </c>
      <c r="E119" s="1">
        <f>D119/D118*100</f>
        <v>76.56716417910448</v>
      </c>
      <c r="F119" s="1">
        <f t="shared" si="15"/>
        <v>100.00000000000003</v>
      </c>
      <c r="G119" s="1">
        <f t="shared" si="12"/>
        <v>58.76288659793815</v>
      </c>
      <c r="H119" s="48">
        <f t="shared" si="16"/>
        <v>0</v>
      </c>
      <c r="I119" s="48">
        <f t="shared" si="14"/>
        <v>71.99999999999999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v>568.7</v>
      </c>
      <c r="C121" s="57">
        <f>204.9+375.8-12</f>
        <v>568.7</v>
      </c>
      <c r="D121" s="80">
        <f>136.8+10+57.4-0.1</f>
        <v>204.10000000000002</v>
      </c>
      <c r="E121" s="17">
        <f>D121/D107*100</f>
        <v>0.0653700486031596</v>
      </c>
      <c r="F121" s="6">
        <f t="shared" si="15"/>
        <v>35.888869351151754</v>
      </c>
      <c r="G121" s="6">
        <f t="shared" si="12"/>
        <v>35.888869351151754</v>
      </c>
      <c r="H121" s="65">
        <f t="shared" si="16"/>
        <v>364.6</v>
      </c>
      <c r="I121" s="65">
        <f t="shared" si="14"/>
        <v>364.6</v>
      </c>
    </row>
    <row r="122" spans="1:9" s="110" customFormat="1" ht="18">
      <c r="A122" s="26" t="s">
        <v>96</v>
      </c>
      <c r="B122" s="78">
        <v>80</v>
      </c>
      <c r="C122" s="48">
        <v>80</v>
      </c>
      <c r="D122" s="79">
        <f>57.4</f>
        <v>57.4</v>
      </c>
      <c r="E122" s="6"/>
      <c r="F122" s="1">
        <f>D122/B122*100</f>
        <v>71.75</v>
      </c>
      <c r="G122" s="1">
        <f t="shared" si="12"/>
        <v>71.75</v>
      </c>
      <c r="H122" s="48">
        <f t="shared" si="16"/>
        <v>22.6</v>
      </c>
      <c r="I122" s="48">
        <f t="shared" si="14"/>
        <v>22.6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f>12357.6+5109.4</f>
        <v>17467</v>
      </c>
      <c r="C124" s="57">
        <f>5096.9+1707.5+6000+16669.6</f>
        <v>29474</v>
      </c>
      <c r="D124" s="80">
        <f>3776+7.6+1124+100+14.3+14.5+0.1+20.4+3015.8+9+1156.5+27+0.1+1146.6+5.2+681+29.9+16.3+480.3+117.6</f>
        <v>11742.2</v>
      </c>
      <c r="E124" s="17">
        <f>D124/D107*100</f>
        <v>3.760843629142678</v>
      </c>
      <c r="F124" s="6">
        <f t="shared" si="15"/>
        <v>67.22505295700464</v>
      </c>
      <c r="G124" s="6">
        <f t="shared" si="12"/>
        <v>39.83918029449684</v>
      </c>
      <c r="H124" s="65">
        <f t="shared" si="16"/>
        <v>5724.799999999999</v>
      </c>
      <c r="I124" s="65">
        <f t="shared" si="14"/>
        <v>17731.8</v>
      </c>
    </row>
    <row r="125" spans="1:9" s="2" customFormat="1" ht="18.75">
      <c r="A125" s="16" t="s">
        <v>117</v>
      </c>
      <c r="B125" s="77">
        <f>955-150</f>
        <v>805</v>
      </c>
      <c r="C125" s="57">
        <f>1239-364</f>
        <v>875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805</v>
      </c>
      <c r="I125" s="65">
        <f t="shared" si="14"/>
        <v>875</v>
      </c>
    </row>
    <row r="126" spans="1:9" s="2" customFormat="1" ht="37.5">
      <c r="A126" s="16" t="s">
        <v>116</v>
      </c>
      <c r="B126" s="77">
        <v>20</v>
      </c>
      <c r="C126" s="57">
        <v>20</v>
      </c>
      <c r="D126" s="80"/>
      <c r="E126" s="17">
        <f>D126/D107*100</f>
        <v>0</v>
      </c>
      <c r="F126" s="133">
        <f t="shared" si="15"/>
        <v>0</v>
      </c>
      <c r="G126" s="6">
        <f t="shared" si="12"/>
        <v>0</v>
      </c>
      <c r="H126" s="65">
        <f t="shared" si="16"/>
        <v>20</v>
      </c>
      <c r="I126" s="65">
        <f t="shared" si="14"/>
        <v>20</v>
      </c>
    </row>
    <row r="127" spans="1:9" s="2" customFormat="1" ht="37.5">
      <c r="A127" s="16" t="s">
        <v>101</v>
      </c>
      <c r="B127" s="77">
        <v>89.9</v>
      </c>
      <c r="C127" s="57">
        <v>95.1</v>
      </c>
      <c r="D127" s="80">
        <f>4.5+17.5+0.7</f>
        <v>22.7</v>
      </c>
      <c r="E127" s="17">
        <f>D127/D107*100</f>
        <v>0.007270456165074585</v>
      </c>
      <c r="F127" s="6">
        <f t="shared" si="15"/>
        <v>25.250278086763068</v>
      </c>
      <c r="G127" s="6">
        <f t="shared" si="12"/>
        <v>23.869610935856993</v>
      </c>
      <c r="H127" s="65">
        <f t="shared" si="16"/>
        <v>67.2</v>
      </c>
      <c r="I127" s="65">
        <f t="shared" si="14"/>
        <v>72.39999999999999</v>
      </c>
    </row>
    <row r="128" spans="1:9" s="2" customFormat="1" ht="37.5">
      <c r="A128" s="16" t="s">
        <v>73</v>
      </c>
      <c r="B128" s="77">
        <v>627.8</v>
      </c>
      <c r="C128" s="57">
        <v>983</v>
      </c>
      <c r="D128" s="80">
        <f>2.8+14.4+2.8+8.8+3.7+4+2.8+5.8+9.6+4.2+2.7+0.2+2.9+76+0.5+2.6+4.7+5.9+2.9</f>
        <v>157.29999999999998</v>
      </c>
      <c r="E128" s="17">
        <f>D128/D107*100</f>
        <v>0.05038073809542872</v>
      </c>
      <c r="F128" s="6">
        <f t="shared" si="15"/>
        <v>25.055750238929598</v>
      </c>
      <c r="G128" s="6">
        <f t="shared" si="12"/>
        <v>16.00203458799593</v>
      </c>
      <c r="H128" s="65">
        <f t="shared" si="16"/>
        <v>470.5</v>
      </c>
      <c r="I128" s="65">
        <f t="shared" si="14"/>
        <v>825.7</v>
      </c>
    </row>
    <row r="129" spans="1:9" s="36" customFormat="1" ht="18">
      <c r="A129" s="26" t="s">
        <v>110</v>
      </c>
      <c r="B129" s="78">
        <v>540.9</v>
      </c>
      <c r="C129" s="48">
        <v>851.8</v>
      </c>
      <c r="D129" s="79">
        <f>2.8+2.8-0.1+2.8+2.7+2.9+70.7+4.7+2.9</f>
        <v>92.20000000000002</v>
      </c>
      <c r="E129" s="1">
        <f>D129/D128*100</f>
        <v>58.61411315956773</v>
      </c>
      <c r="F129" s="1">
        <f>D129/B129*100</f>
        <v>17.045664633019047</v>
      </c>
      <c r="G129" s="1">
        <f t="shared" si="12"/>
        <v>10.82413712139</v>
      </c>
      <c r="H129" s="48">
        <f t="shared" si="16"/>
        <v>448.69999999999993</v>
      </c>
      <c r="I129" s="48">
        <f t="shared" si="14"/>
        <v>759.5999999999999</v>
      </c>
    </row>
    <row r="130" spans="1:9" s="2" customFormat="1" ht="37.5">
      <c r="A130" s="16" t="s">
        <v>122</v>
      </c>
      <c r="B130" s="77">
        <v>0</v>
      </c>
      <c r="C130" s="57">
        <v>400</v>
      </c>
      <c r="D130" s="80"/>
      <c r="E130" s="17">
        <f>D130/D107*100</f>
        <v>0</v>
      </c>
      <c r="F130" s="133" t="e">
        <f t="shared" si="15"/>
        <v>#DIV/0!</v>
      </c>
      <c r="G130" s="6">
        <f t="shared" si="12"/>
        <v>0</v>
      </c>
      <c r="H130" s="65">
        <f t="shared" si="16"/>
        <v>0</v>
      </c>
      <c r="I130" s="65">
        <f t="shared" si="14"/>
        <v>400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44.1</v>
      </c>
      <c r="C132" s="57">
        <v>64.1</v>
      </c>
      <c r="D132" s="80">
        <f>0.8+2.3+1.8+1+14.8</f>
        <v>20.7</v>
      </c>
      <c r="E132" s="17">
        <f>D132/D107*100</f>
        <v>0.006629887339957881</v>
      </c>
      <c r="F132" s="6">
        <f t="shared" si="15"/>
        <v>46.93877551020408</v>
      </c>
      <c r="G132" s="6">
        <f t="shared" si="12"/>
        <v>32.293291731669264</v>
      </c>
      <c r="H132" s="65">
        <f t="shared" si="16"/>
        <v>23.400000000000002</v>
      </c>
      <c r="I132" s="65">
        <f t="shared" si="14"/>
        <v>43.39999999999999</v>
      </c>
    </row>
    <row r="133" spans="1:9" s="2" customFormat="1" ht="35.25" customHeight="1" hidden="1">
      <c r="A133" s="16" t="s">
        <v>69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108</v>
      </c>
      <c r="B134" s="77">
        <v>189.2</v>
      </c>
      <c r="C134" s="57">
        <v>600</v>
      </c>
      <c r="D134" s="80">
        <f>0.8+5+0.9+2.6-0.1+0.6+0.1</f>
        <v>9.9</v>
      </c>
      <c r="E134" s="17">
        <f>D134/D107*100</f>
        <v>0.0031708156843276826</v>
      </c>
      <c r="F134" s="6">
        <f t="shared" si="15"/>
        <v>5.232558139534884</v>
      </c>
      <c r="G134" s="6">
        <f t="shared" si="12"/>
        <v>1.6500000000000001</v>
      </c>
      <c r="H134" s="65">
        <f t="shared" si="16"/>
        <v>179.29999999999998</v>
      </c>
      <c r="I134" s="65">
        <f t="shared" si="14"/>
        <v>590.1</v>
      </c>
    </row>
    <row r="135" spans="1:9" s="2" customFormat="1" ht="35.25" customHeight="1" hidden="1">
      <c r="A135" s="16" t="s">
        <v>109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100</v>
      </c>
      <c r="B136" s="77">
        <v>229.7</v>
      </c>
      <c r="C136" s="57">
        <v>363.7</v>
      </c>
      <c r="D136" s="80">
        <f>5.2+0.3+2.7+0.1+0.5+0.2+13.8+39.2+5+5.9+2+6.5+0.1+32.4+5+3.9+0.2+0.7+8.4+0.1+0.1+3+4.4+0.1+5.5</f>
        <v>145.3</v>
      </c>
      <c r="E136" s="17">
        <f>D136/D107*100</f>
        <v>0.04653732514472851</v>
      </c>
      <c r="F136" s="6">
        <f t="shared" si="15"/>
        <v>63.2564214192425</v>
      </c>
      <c r="G136" s="6">
        <f>D136/C136*100</f>
        <v>39.950508660984326</v>
      </c>
      <c r="H136" s="65">
        <f t="shared" si="16"/>
        <v>84.39999999999998</v>
      </c>
      <c r="I136" s="65">
        <f t="shared" si="14"/>
        <v>218.39999999999998</v>
      </c>
    </row>
    <row r="137" spans="1:9" s="36" customFormat="1" ht="18">
      <c r="A137" s="26" t="s">
        <v>32</v>
      </c>
      <c r="B137" s="78">
        <v>133.3</v>
      </c>
      <c r="C137" s="48">
        <v>218.8</v>
      </c>
      <c r="D137" s="79">
        <f>0.3+39.3+0.2+2+32.4+0.2-0.1+5.4+0.1+5.5</f>
        <v>85.3</v>
      </c>
      <c r="E137" s="111">
        <f>D137/D136*100</f>
        <v>58.70612525808671</v>
      </c>
      <c r="F137" s="1">
        <f t="shared" si="15"/>
        <v>63.99099774943735</v>
      </c>
      <c r="G137" s="1">
        <f>D137/C137*100</f>
        <v>38.9853747714808</v>
      </c>
      <c r="H137" s="48">
        <f t="shared" si="16"/>
        <v>48.000000000000014</v>
      </c>
      <c r="I137" s="48">
        <f t="shared" si="14"/>
        <v>133.5</v>
      </c>
    </row>
    <row r="138" spans="1:9" s="2" customFormat="1" ht="18.75">
      <c r="A138" s="16" t="s">
        <v>31</v>
      </c>
      <c r="B138" s="77">
        <v>781.9</v>
      </c>
      <c r="C138" s="57">
        <f>1160.2+12+85</f>
        <v>1257.2</v>
      </c>
      <c r="D138" s="80">
        <f>26.5+42.3+30.1+3.6+8.6+42.3+0.1+5.7+31.9+5.2+42.5+11.7+55+45.4+28.3+17.8+9.6+33.4+0.9+26.8+46.9+38.1-0.1+30.6+29.1+43.2</f>
        <v>655.5</v>
      </c>
      <c r="E138" s="17">
        <f>D138/D107*100</f>
        <v>0.2099464324319996</v>
      </c>
      <c r="F138" s="6">
        <f t="shared" si="15"/>
        <v>83.83424990407981</v>
      </c>
      <c r="G138" s="6">
        <f t="shared" si="12"/>
        <v>52.139675469296854</v>
      </c>
      <c r="H138" s="65">
        <f t="shared" si="16"/>
        <v>126.39999999999998</v>
      </c>
      <c r="I138" s="65">
        <f t="shared" si="14"/>
        <v>601.7</v>
      </c>
    </row>
    <row r="139" spans="1:9" s="36" customFormat="1" ht="18">
      <c r="A139" s="37" t="s">
        <v>53</v>
      </c>
      <c r="B139" s="78">
        <v>585.7</v>
      </c>
      <c r="C139" s="48">
        <v>886.2</v>
      </c>
      <c r="D139" s="79">
        <f>26.5+39.8+30.1+42.1+0.1+31.9+40.5+11.2+38.1+30.1+28.3+17.4+33.4+8.9+24.2+37.9+28.8+43.2</f>
        <v>512.5</v>
      </c>
      <c r="E139" s="1">
        <f>D139/D138*100</f>
        <v>78.18459191456904</v>
      </c>
      <c r="F139" s="1">
        <f aca="true" t="shared" si="17" ref="F139:F147">D139/B139*100</f>
        <v>87.50213419839508</v>
      </c>
      <c r="G139" s="1">
        <f t="shared" si="12"/>
        <v>57.83118934777703</v>
      </c>
      <c r="H139" s="48">
        <f t="shared" si="16"/>
        <v>73.20000000000005</v>
      </c>
      <c r="I139" s="48">
        <f t="shared" si="14"/>
        <v>373.70000000000005</v>
      </c>
    </row>
    <row r="140" spans="1:9" s="36" customFormat="1" ht="18">
      <c r="A140" s="26" t="s">
        <v>32</v>
      </c>
      <c r="B140" s="78">
        <v>23.2</v>
      </c>
      <c r="C140" s="48">
        <v>39.3</v>
      </c>
      <c r="D140" s="79">
        <f>8.6+0.2+0.3+5.1+0.4+5.3+0.3+0.3+0.2</f>
        <v>20.7</v>
      </c>
      <c r="E140" s="1">
        <f>D140/D138*100</f>
        <v>3.1578947368421053</v>
      </c>
      <c r="F140" s="1">
        <f t="shared" si="17"/>
        <v>89.22413793103449</v>
      </c>
      <c r="G140" s="1">
        <f>D140/C140*100</f>
        <v>52.67175572519084</v>
      </c>
      <c r="H140" s="48">
        <f t="shared" si="16"/>
        <v>2.5</v>
      </c>
      <c r="I140" s="48">
        <f t="shared" si="14"/>
        <v>18.599999999999998</v>
      </c>
    </row>
    <row r="141" spans="1:9" s="2" customFormat="1" ht="56.25">
      <c r="A141" s="20" t="s">
        <v>105</v>
      </c>
      <c r="B141" s="77">
        <v>345</v>
      </c>
      <c r="C141" s="57">
        <v>345</v>
      </c>
      <c r="D141" s="80">
        <f>345</f>
        <v>345</v>
      </c>
      <c r="E141" s="17">
        <f>D141/D107*100</f>
        <v>0.11049812233263134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107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102</v>
      </c>
      <c r="B143" s="77">
        <f>28545.7+420</f>
        <v>28965.7</v>
      </c>
      <c r="C143" s="57">
        <f>16744+15000+2000-2607.4+8610.1</f>
        <v>39746.7</v>
      </c>
      <c r="D143" s="80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</f>
        <v>22628.599999999995</v>
      </c>
      <c r="E143" s="17">
        <f>D143/D107*100</f>
        <v>7.247587858017917</v>
      </c>
      <c r="F143" s="107">
        <f t="shared" si="17"/>
        <v>78.12205470608339</v>
      </c>
      <c r="G143" s="6">
        <f t="shared" si="12"/>
        <v>56.932022029501816</v>
      </c>
      <c r="H143" s="65">
        <f t="shared" si="16"/>
        <v>6337.100000000006</v>
      </c>
      <c r="I143" s="65">
        <f t="shared" si="14"/>
        <v>17118.100000000002</v>
      </c>
    </row>
    <row r="144" spans="1:9" s="2" customFormat="1" ht="18.75" hidden="1">
      <c r="A144" s="20" t="s">
        <v>103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106</v>
      </c>
      <c r="B145" s="77">
        <v>2177.7</v>
      </c>
      <c r="C145" s="57">
        <f>6504.8-4188</f>
        <v>2316.8</v>
      </c>
      <c r="D145" s="80">
        <f>2094</f>
        <v>2094</v>
      </c>
      <c r="E145" s="17">
        <f>D145/D107*100</f>
        <v>0.6706755598971886</v>
      </c>
      <c r="F145" s="107">
        <f t="shared" si="17"/>
        <v>96.15649538503926</v>
      </c>
      <c r="G145" s="6">
        <f t="shared" si="12"/>
        <v>90.38328729281767</v>
      </c>
      <c r="H145" s="65">
        <f t="shared" si="16"/>
        <v>83.69999999999982</v>
      </c>
      <c r="I145" s="65">
        <f t="shared" si="14"/>
        <v>222.80000000000018</v>
      </c>
    </row>
    <row r="146" spans="1:12" s="2" customFormat="1" ht="18.75" customHeight="1">
      <c r="A146" s="16" t="s">
        <v>93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0.1930354154489186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f>292122.8+24260.8</f>
        <v>316383.6</v>
      </c>
      <c r="C147" s="57">
        <f>298394.8+81857.1-188.4+8192+4136.9-39.9+58207.6</f>
        <v>450560.1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</f>
        <v>254618.80000000005</v>
      </c>
      <c r="E147" s="17">
        <f>D147/D107*100</f>
        <v>81.55043278431246</v>
      </c>
      <c r="F147" s="6">
        <f t="shared" si="17"/>
        <v>80.47787559152879</v>
      </c>
      <c r="G147" s="6">
        <f t="shared" si="12"/>
        <v>56.5116174290622</v>
      </c>
      <c r="H147" s="65">
        <f t="shared" si="16"/>
        <v>61764.79999999993</v>
      </c>
      <c r="I147" s="65">
        <f t="shared" si="14"/>
        <v>195941.29999999993</v>
      </c>
      <c r="K147" s="99"/>
      <c r="L147" s="42"/>
    </row>
    <row r="148" spans="1:12" s="2" customFormat="1" ht="18.75">
      <c r="A148" s="16" t="s">
        <v>104</v>
      </c>
      <c r="B148" s="77">
        <v>19334.4</v>
      </c>
      <c r="C148" s="57">
        <v>29001.6</v>
      </c>
      <c r="D148" s="80">
        <f>805.6+805.6+805.6+805.6+805.6+805.6+805.6+805.6+805.6+805.6+805.6+805.6+805.6+805.6+805.6+805.6+805.6+805.6+805.6+805.6+805.6</f>
        <v>16917.600000000006</v>
      </c>
      <c r="E148" s="17">
        <f>D148/D107*100</f>
        <v>5.418443577897174</v>
      </c>
      <c r="F148" s="6">
        <f t="shared" si="15"/>
        <v>87.50000000000003</v>
      </c>
      <c r="G148" s="6">
        <f t="shared" si="12"/>
        <v>58.33333333333336</v>
      </c>
      <c r="H148" s="65">
        <f t="shared" si="16"/>
        <v>2416.7999999999956</v>
      </c>
      <c r="I148" s="65">
        <f t="shared" si="14"/>
        <v>12083.999999999993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400905.6</v>
      </c>
      <c r="C149" s="81">
        <f>C43+C69+C72+C77+C79+C87+C102+C107+C100+C84+C98</f>
        <v>580527.2999999998</v>
      </c>
      <c r="D149" s="57">
        <f>D43+D69+D72+D77+D79+D87+D102+D107+D100+D84+D98</f>
        <v>317933.70000000007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1024512.3</v>
      </c>
      <c r="C150" s="51">
        <f>C6+C18+C33+C43+C51+C59+C69+C72+C77+C79+C87+C90+C95+C102+C107+C100+C84+C98+C45</f>
        <v>1503306.8999999997</v>
      </c>
      <c r="D150" s="51">
        <f>D6+D18+D33+D43+D51+D59+D69+D72+D77+D79+D87+D90+D95+D102+D107+D100+D84+D98+D45</f>
        <v>838378.2000000002</v>
      </c>
      <c r="E150" s="35">
        <v>100</v>
      </c>
      <c r="F150" s="3">
        <f>D150/B150*100</f>
        <v>81.83193115397445</v>
      </c>
      <c r="G150" s="3">
        <f aca="true" t="shared" si="18" ref="G150:G156">D150/C150*100</f>
        <v>55.768931812925246</v>
      </c>
      <c r="H150" s="51">
        <f aca="true" t="shared" si="19" ref="H150:H156">B150-D150</f>
        <v>186134.09999999986</v>
      </c>
      <c r="I150" s="51">
        <f aca="true" t="shared" si="20" ref="I150:I156">C150-D150</f>
        <v>664928.6999999995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403569.4</v>
      </c>
      <c r="C151" s="64">
        <f>C8+C20+C34+C52+C60+C91+C115+C119+C46+C139+C131+C103</f>
        <v>608055.8999999997</v>
      </c>
      <c r="D151" s="64">
        <f>D8+D20+D34+D52+D60+D91+D115+D119+D46+D139+D131+D103</f>
        <v>358915.6</v>
      </c>
      <c r="E151" s="6">
        <f>D151/D150*100</f>
        <v>42.81070285463051</v>
      </c>
      <c r="F151" s="6">
        <f aca="true" t="shared" si="21" ref="F151:F162">D151/B151*100</f>
        <v>88.93528597559676</v>
      </c>
      <c r="G151" s="6">
        <f t="shared" si="18"/>
        <v>59.02674408718017</v>
      </c>
      <c r="H151" s="65">
        <f t="shared" si="19"/>
        <v>44653.80000000005</v>
      </c>
      <c r="I151" s="76">
        <f t="shared" si="20"/>
        <v>249140.2999999997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72472.6</v>
      </c>
      <c r="C152" s="65">
        <f>C11+C23+C36+C55+C62+C92+C49+C140+C109+C112+C96+C137</f>
        <v>121898.70000000001</v>
      </c>
      <c r="D152" s="65">
        <f>D11+D23+D36+D55+D62+D92+D49+D140+D109+D112+D96+D137</f>
        <v>52081.20000000001</v>
      </c>
      <c r="E152" s="6">
        <f>D152/D150*100</f>
        <v>6.2121367182495915</v>
      </c>
      <c r="F152" s="6">
        <f t="shared" si="21"/>
        <v>71.86329730132492</v>
      </c>
      <c r="G152" s="6">
        <f t="shared" si="18"/>
        <v>42.72498394158429</v>
      </c>
      <c r="H152" s="65">
        <f t="shared" si="19"/>
        <v>20391.399999999994</v>
      </c>
      <c r="I152" s="76">
        <f t="shared" si="20"/>
        <v>69817.5</v>
      </c>
      <c r="K152" s="43"/>
      <c r="L152" s="98"/>
    </row>
    <row r="153" spans="1:12" ht="18.75">
      <c r="A153" s="20" t="s">
        <v>1</v>
      </c>
      <c r="B153" s="64">
        <f>B22+B10+B54+B48+B61+B35+B123</f>
        <v>22291.899999999998</v>
      </c>
      <c r="C153" s="64">
        <f>C22+C10+C54+C48+C61+C35+C123</f>
        <v>31721.800000000003</v>
      </c>
      <c r="D153" s="64">
        <f>D22+D10+D54+D48+D61+D35+D123</f>
        <v>17131.200000000004</v>
      </c>
      <c r="E153" s="6">
        <f>D153/D150*100</f>
        <v>2.043373742303891</v>
      </c>
      <c r="F153" s="6">
        <f t="shared" si="21"/>
        <v>76.84943858531577</v>
      </c>
      <c r="G153" s="6">
        <f t="shared" si="18"/>
        <v>54.004501636098844</v>
      </c>
      <c r="H153" s="65">
        <f t="shared" si="19"/>
        <v>5160.699999999993</v>
      </c>
      <c r="I153" s="76">
        <f t="shared" si="20"/>
        <v>14590.599999999999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19716.500000000004</v>
      </c>
      <c r="C154" s="64">
        <f>C12+C24+C104+C63+C38+C93+C129+C56</f>
        <v>29372.4</v>
      </c>
      <c r="D154" s="64">
        <f>D12+D24+D104+D63+D38+D93+D129+D56</f>
        <v>12960.800000000003</v>
      </c>
      <c r="E154" s="6">
        <f>D154/D150*100</f>
        <v>1.5459371438808882</v>
      </c>
      <c r="F154" s="6">
        <f t="shared" si="21"/>
        <v>65.73580503639084</v>
      </c>
      <c r="G154" s="6">
        <f t="shared" si="18"/>
        <v>44.1257779411965</v>
      </c>
      <c r="H154" s="65">
        <f t="shared" si="19"/>
        <v>6755.700000000001</v>
      </c>
      <c r="I154" s="76">
        <f t="shared" si="20"/>
        <v>16411.6</v>
      </c>
      <c r="K154" s="43"/>
      <c r="L154" s="98"/>
    </row>
    <row r="155" spans="1:12" ht="18.75">
      <c r="A155" s="20" t="s">
        <v>2</v>
      </c>
      <c r="B155" s="64">
        <f>B9+B21+B47+B53+B122</f>
        <v>16993.9</v>
      </c>
      <c r="C155" s="64">
        <f>C9+C21+C47+C53+C122</f>
        <v>22288.699999999997</v>
      </c>
      <c r="D155" s="64">
        <f>D9+D21+D47+D53+D122</f>
        <v>12847.900000000001</v>
      </c>
      <c r="E155" s="6">
        <f>D155/D150*100</f>
        <v>1.5324706677726114</v>
      </c>
      <c r="F155" s="6">
        <f t="shared" si="21"/>
        <v>75.60301049200008</v>
      </c>
      <c r="G155" s="6">
        <f t="shared" si="18"/>
        <v>57.6431106345368</v>
      </c>
      <c r="H155" s="65">
        <f t="shared" si="19"/>
        <v>4146</v>
      </c>
      <c r="I155" s="76">
        <f t="shared" si="20"/>
        <v>9440.799999999996</v>
      </c>
      <c r="K155" s="43"/>
      <c r="L155" s="44"/>
    </row>
    <row r="156" spans="1:12" ht="19.5" thickBot="1">
      <c r="A156" s="20" t="s">
        <v>34</v>
      </c>
      <c r="B156" s="64">
        <f>B150-B151-B152-B153-B154-B155</f>
        <v>489468</v>
      </c>
      <c r="C156" s="64">
        <f>C150-C151-C152-C153-C154-C155</f>
        <v>689969.4</v>
      </c>
      <c r="D156" s="64">
        <f>D150-D151-D152-D153-D154-D155</f>
        <v>384441.5000000002</v>
      </c>
      <c r="E156" s="6">
        <f>D156/D150*100</f>
        <v>45.85537887316251</v>
      </c>
      <c r="F156" s="6">
        <f t="shared" si="21"/>
        <v>78.5427239370092</v>
      </c>
      <c r="G156" s="40">
        <f t="shared" si="18"/>
        <v>55.71863042042157</v>
      </c>
      <c r="H156" s="65">
        <f t="shared" si="19"/>
        <v>105026.49999999983</v>
      </c>
      <c r="I156" s="65">
        <f t="shared" si="20"/>
        <v>305527.89999999985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28490-340+500+1367.8</f>
        <v>30017.8</v>
      </c>
      <c r="C158" s="70">
        <f>33586.6+500+7325.2</f>
        <v>41411.799999999996</v>
      </c>
      <c r="D158" s="70">
        <f>33+3.1+31.8+118.6+8.5+18.3+41+591.6+0.1+448.4+20+14.4+41.3+31.5+458.7+42.9+92.6+54.3+185.1+276.9+138.9+420.8+189.7+128.4+1374+1199.8+948.5+463.6+2.3+2.2+200+677.2-390.9+28.9+159.7+371.4</f>
        <v>8426.600000000002</v>
      </c>
      <c r="E158" s="14"/>
      <c r="F158" s="6">
        <f t="shared" si="21"/>
        <v>28.072010607039832</v>
      </c>
      <c r="G158" s="6">
        <f aca="true" t="shared" si="22" ref="G158:G167">D158/C158*100</f>
        <v>20.348306521329675</v>
      </c>
      <c r="H158" s="65">
        <f>B158-D158</f>
        <v>21591.199999999997</v>
      </c>
      <c r="I158" s="65">
        <f aca="true" t="shared" si="23" ref="I158:I167">C158-D158</f>
        <v>32985.2</v>
      </c>
      <c r="K158" s="43"/>
      <c r="L158" s="43"/>
    </row>
    <row r="159" spans="1:12" ht="18.75">
      <c r="A159" s="20" t="s">
        <v>22</v>
      </c>
      <c r="B159" s="85">
        <f>38636.8-318.6</f>
        <v>38318.200000000004</v>
      </c>
      <c r="C159" s="64">
        <f>51080.5+400+4581.4</f>
        <v>56061.9</v>
      </c>
      <c r="D159" s="64">
        <f>100+49.9+293.6+174.2+159.5+52+404.4+89.3+150+694.7+650+637.7+888.1+1549.4+1150.4+28.8+73+685+233.1+79.4+200+254.7+419.8+99.5+57.1+1.6+2862.1+4096.9+63.4+185.1+178.3+1864.4+0.1+67.7+62.8+1037.9</f>
        <v>19593.9</v>
      </c>
      <c r="E159" s="6"/>
      <c r="F159" s="6">
        <f t="shared" si="21"/>
        <v>51.134708832878374</v>
      </c>
      <c r="G159" s="6">
        <f t="shared" si="22"/>
        <v>34.95047438634795</v>
      </c>
      <c r="H159" s="65">
        <f aca="true" t="shared" si="24" ref="H159:H166">B159-D159</f>
        <v>18724.300000000003</v>
      </c>
      <c r="I159" s="65">
        <f t="shared" si="23"/>
        <v>36468</v>
      </c>
      <c r="K159" s="43"/>
      <c r="L159" s="43"/>
    </row>
    <row r="160" spans="1:12" ht="18.75">
      <c r="A160" s="20" t="s">
        <v>58</v>
      </c>
      <c r="B160" s="85">
        <f>223365.2-500+23211.5</f>
        <v>246076.7</v>
      </c>
      <c r="C160" s="64">
        <f>327552.4-500+46301</f>
        <v>373353.4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+2119.5+308.3+61.3-211.3+3307.3+3555.3+793.5+341.4+414+1037.3+2700.7+62.1+513.6-21.8+523.9+11473.2+6029.9+604.8+30+771+3780.1+2092.8+4737.5+860.6+514.3+1111.5+8+299.3+489.8+1553.9+546.9+459.7+238.7-28+1021.6+19.5+43.6+2.2+390.7+1046-1.3+2046.8+137.3+9065.4</f>
        <v>125503.50000000001</v>
      </c>
      <c r="E160" s="6"/>
      <c r="F160" s="6">
        <f t="shared" si="21"/>
        <v>51.00178115197417</v>
      </c>
      <c r="G160" s="6">
        <f t="shared" si="22"/>
        <v>33.61520211145794</v>
      </c>
      <c r="H160" s="65">
        <f t="shared" si="24"/>
        <v>120573.2</v>
      </c>
      <c r="I160" s="65">
        <f t="shared" si="23"/>
        <v>247849.90000000002</v>
      </c>
      <c r="K160" s="43"/>
      <c r="L160" s="43"/>
    </row>
    <row r="161" spans="1:12" ht="37.5">
      <c r="A161" s="20" t="s">
        <v>67</v>
      </c>
      <c r="B161" s="85">
        <v>3200.2</v>
      </c>
      <c r="C161" s="64">
        <v>4923.4</v>
      </c>
      <c r="D161" s="64">
        <f>1477</f>
        <v>1477</v>
      </c>
      <c r="E161" s="6"/>
      <c r="F161" s="6">
        <f t="shared" si="21"/>
        <v>46.153365414661586</v>
      </c>
      <c r="G161" s="6">
        <f t="shared" si="22"/>
        <v>29.999593776658408</v>
      </c>
      <c r="H161" s="65">
        <f t="shared" si="24"/>
        <v>1723.1999999999998</v>
      </c>
      <c r="I161" s="65">
        <f t="shared" si="23"/>
        <v>3446.3999999999996</v>
      </c>
      <c r="K161" s="43"/>
      <c r="L161" s="43"/>
    </row>
    <row r="162" spans="1:12" ht="18.75">
      <c r="A162" s="20" t="s">
        <v>13</v>
      </c>
      <c r="B162" s="85">
        <v>11804.7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49.9+127.8+39.6+53.8+398.2+8.4+32.5+231.9+89.8+103.6+52.4+19.2+179.2+118+109.5+32.3+81.3+0.1+165.4+333.7+47.5+192.2+86.9+18.7+23.4+29.9+20+910.7+69.7+74+286.2+38+40.3+12.5+359+340.9+125.3+186.9+37.9+212+48.2+98.7+68.2</f>
        <v>5553.699999999998</v>
      </c>
      <c r="E162" s="17"/>
      <c r="F162" s="6">
        <f t="shared" si="21"/>
        <v>47.046515370996275</v>
      </c>
      <c r="G162" s="6">
        <f t="shared" si="22"/>
        <v>40.59099114901951</v>
      </c>
      <c r="H162" s="65">
        <f t="shared" si="24"/>
        <v>6251.000000000003</v>
      </c>
      <c r="I162" s="65">
        <f t="shared" si="23"/>
        <v>8128.400000000002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5">
        <f t="shared" si="24"/>
        <v>0</v>
      </c>
      <c r="I163" s="65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1170.7</v>
      </c>
      <c r="C164" s="64">
        <v>2118.3</v>
      </c>
      <c r="D164" s="64">
        <f>394.4+14+15.3</f>
        <v>423.7</v>
      </c>
      <c r="E164" s="17"/>
      <c r="F164" s="6">
        <f>D164/B164*100</f>
        <v>36.1920218672589</v>
      </c>
      <c r="G164" s="6">
        <f t="shared" si="22"/>
        <v>20.001888306661</v>
      </c>
      <c r="H164" s="65">
        <f t="shared" si="24"/>
        <v>747</v>
      </c>
      <c r="I164" s="65">
        <f t="shared" si="23"/>
        <v>1694.6000000000001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5">
        <f t="shared" si="24"/>
        <v>0</v>
      </c>
      <c r="I165" s="65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5">
        <f t="shared" si="24"/>
        <v>0</v>
      </c>
      <c r="I166" s="65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1355100.5999999999</v>
      </c>
      <c r="C167" s="87">
        <f>C150+C158+C162+C163+C159+C166+C165+C160+C164+C161</f>
        <v>1994857.7999999996</v>
      </c>
      <c r="D167" s="87">
        <f>D150+D158+D162+D163+D159+D166+D165+D160+D164+D161</f>
        <v>999356.6000000001</v>
      </c>
      <c r="E167" s="22"/>
      <c r="F167" s="3">
        <f>D167/B167*100</f>
        <v>73.74777931616296</v>
      </c>
      <c r="G167" s="3">
        <f t="shared" si="22"/>
        <v>50.0966334542743</v>
      </c>
      <c r="H167" s="51">
        <f>B167-D167</f>
        <v>355743.99999999977</v>
      </c>
      <c r="I167" s="51">
        <f t="shared" si="23"/>
        <v>995501.1999999995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7">
    <cfRule type="cellIs" priority="3" dxfId="0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1503306.8999999997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838378.2000000002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1503306.8999999997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838378.2000000002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2016-07-29T10:27:38Z</cp:lastPrinted>
  <dcterms:created xsi:type="dcterms:W3CDTF">2000-06-20T04:48:00Z</dcterms:created>
  <dcterms:modified xsi:type="dcterms:W3CDTF">2016-08-05T05:16:05Z</dcterms:modified>
  <cp:category/>
  <cp:version/>
  <cp:contentType/>
  <cp:contentStatus/>
</cp:coreProperties>
</file>